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Users\Brandon\Documents\"/>
    </mc:Choice>
  </mc:AlternateContent>
  <xr:revisionPtr revIDLastSave="0" documentId="8_{2A0E71A1-2905-44A2-9CB8-9FFEE57AC137}" xr6:coauthVersionLast="46" xr6:coauthVersionMax="46" xr10:uidLastSave="{00000000-0000-0000-0000-000000000000}"/>
  <bookViews>
    <workbookView xWindow="-120" yWindow="-120" windowWidth="20730" windowHeight="11760" xr2:uid="{F70B9FC5-9B4F-4383-9557-21BBCA46F832}"/>
  </bookViews>
  <sheets>
    <sheet name="Cast" sheetId="9" r:id="rId1"/>
    <sheet name="Game" sheetId="1" r:id="rId2"/>
    <sheet name="Relationships" sheetId="3" r:id="rId3"/>
    <sheet name="Popularity" sheetId="2" r:id="rId4"/>
    <sheet name="Sheet4" sheetId="5" state="hidden" r:id="rId5"/>
    <sheet name="Voting Table" sheetId="6" r:id="rId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0" i="1" l="1"/>
  <c r="G17" i="1"/>
  <c r="G16" i="1"/>
  <c r="G15" i="1"/>
  <c r="G14" i="1"/>
  <c r="G13" i="1"/>
  <c r="G12" i="1"/>
  <c r="G11" i="1"/>
  <c r="G10" i="1"/>
  <c r="G9" i="1"/>
  <c r="G8" i="1"/>
  <c r="G7" i="1"/>
  <c r="G6" i="1"/>
  <c r="G5" i="1"/>
  <c r="G4" i="1"/>
  <c r="G3" i="1"/>
  <c r="G2" i="1"/>
  <c r="I26" i="1"/>
  <c r="I23" i="1"/>
  <c r="B27" i="9" l="1"/>
  <c r="B24" i="9"/>
  <c r="B1891" i="1" l="1"/>
  <c r="B1890" i="1"/>
  <c r="B1889" i="1"/>
  <c r="B1888" i="1"/>
  <c r="B1887" i="1"/>
  <c r="B1886" i="1"/>
  <c r="B1885" i="1"/>
  <c r="B1884" i="1"/>
  <c r="B1883" i="1"/>
  <c r="C1823" i="1"/>
  <c r="C1822" i="1"/>
  <c r="C1821" i="1"/>
  <c r="C1820" i="1"/>
  <c r="C1819" i="1"/>
  <c r="C1818" i="1"/>
  <c r="C1817" i="1"/>
  <c r="C1816" i="1"/>
  <c r="C1815" i="1"/>
  <c r="F1788" i="1" l="1"/>
  <c r="F1787" i="1"/>
  <c r="F1781" i="1"/>
  <c r="F1780" i="1"/>
  <c r="F1774" i="1"/>
  <c r="F1773" i="1"/>
  <c r="F1772" i="1"/>
  <c r="F1735" i="1" l="1"/>
  <c r="F1734" i="1"/>
  <c r="F1733" i="1"/>
  <c r="F1732" i="1"/>
  <c r="F1679" i="1"/>
  <c r="F1675" i="1"/>
  <c r="F1674" i="1"/>
  <c r="F1673" i="1"/>
  <c r="F1672" i="1"/>
  <c r="F1671" i="1"/>
  <c r="F1620" i="1"/>
  <c r="F1616" i="1"/>
  <c r="F1615" i="1"/>
  <c r="F1614" i="1"/>
  <c r="F1613" i="1"/>
  <c r="F1612" i="1"/>
  <c r="F1611" i="1"/>
  <c r="F1544" i="1"/>
  <c r="F1543" i="1"/>
  <c r="F1542" i="1"/>
  <c r="F1541" i="1"/>
  <c r="F1540" i="1"/>
  <c r="F1539" i="1"/>
  <c r="F1538" i="1"/>
  <c r="B1524" i="1"/>
  <c r="F1497" i="1"/>
  <c r="F1496" i="1"/>
  <c r="F1495" i="1"/>
  <c r="D1498" i="1"/>
  <c r="G24" i="1" l="1"/>
  <c r="G27" i="1"/>
  <c r="F1436" i="1" l="1"/>
  <c r="F1435" i="1"/>
  <c r="F1434" i="1"/>
  <c r="F1433" i="1"/>
  <c r="F1432" i="1"/>
  <c r="F1431" i="1"/>
  <c r="F1430" i="1"/>
  <c r="E1392" i="1"/>
  <c r="F1391" i="1"/>
  <c r="F1390" i="1"/>
  <c r="F1389" i="1"/>
  <c r="F1388" i="1"/>
  <c r="G1276" i="1"/>
  <c r="F1318" i="1" l="1"/>
  <c r="F1324" i="1"/>
  <c r="F1323" i="1"/>
  <c r="F1322" i="1"/>
  <c r="F1321" i="1"/>
  <c r="F1320" i="1"/>
  <c r="F1319" i="1"/>
  <c r="B1307" i="1"/>
  <c r="D1278" i="1"/>
  <c r="E1282" i="1"/>
  <c r="E1281" i="1"/>
  <c r="E1280" i="1"/>
  <c r="E1279" i="1"/>
  <c r="E1278" i="1"/>
  <c r="D1282" i="1"/>
  <c r="D1281" i="1"/>
  <c r="D1280" i="1"/>
  <c r="D1279" i="1"/>
  <c r="C1288" i="1"/>
  <c r="C1287" i="1"/>
  <c r="C1286" i="1"/>
  <c r="C1285" i="1"/>
  <c r="C1284" i="1"/>
  <c r="C1283" i="1"/>
  <c r="C1282" i="1"/>
  <c r="C1281" i="1"/>
  <c r="D1287" i="1"/>
  <c r="D1285" i="1"/>
  <c r="E1390" i="1" s="1"/>
  <c r="D1496" i="1" s="1"/>
  <c r="D1284" i="1"/>
  <c r="D1286" i="1" l="1"/>
  <c r="E1389" i="1"/>
  <c r="B1259" i="1"/>
  <c r="B1258" i="1"/>
  <c r="B1257" i="1"/>
  <c r="B1256" i="1"/>
  <c r="B1255" i="1"/>
  <c r="B1254" i="1"/>
  <c r="B1253" i="1"/>
  <c r="B1252" i="1"/>
  <c r="E1391" i="1" l="1"/>
  <c r="D1495" i="1"/>
  <c r="D1288" i="1"/>
  <c r="F1212" i="1"/>
  <c r="D1228" i="1"/>
  <c r="D1227" i="1"/>
  <c r="D1226" i="1"/>
  <c r="D1225" i="1"/>
  <c r="D1224" i="1"/>
  <c r="D1223" i="1"/>
  <c r="B1211" i="1"/>
  <c r="D1497" i="1" l="1"/>
  <c r="E1393" i="1"/>
  <c r="B1183" i="1"/>
  <c r="B1182" i="1"/>
  <c r="B1181" i="1"/>
  <c r="B1180" i="1"/>
  <c r="B1179" i="1"/>
  <c r="B1178" i="1"/>
  <c r="B1177" i="1"/>
  <c r="B1176" i="1"/>
  <c r="D1499" i="1" l="1"/>
  <c r="F1123" i="1"/>
  <c r="F1119" i="1" l="1"/>
  <c r="F1118" i="1"/>
  <c r="F1117" i="1"/>
  <c r="F1116" i="1"/>
  <c r="F1115" i="1"/>
  <c r="F1114" i="1"/>
  <c r="E1083" i="1" l="1"/>
  <c r="E1082" i="1"/>
  <c r="B1080" i="1"/>
  <c r="B1079" i="1"/>
  <c r="B1078" i="1"/>
  <c r="B1077" i="1"/>
  <c r="B1076" i="1"/>
  <c r="B1075" i="1"/>
  <c r="B1074" i="1"/>
  <c r="B1073" i="1"/>
  <c r="D1071" i="1"/>
  <c r="B1071" i="1"/>
  <c r="F1069" i="1"/>
  <c r="B8" i="6" l="1"/>
  <c r="F1262" i="1"/>
  <c r="B1052" i="1"/>
  <c r="B1051" i="1"/>
  <c r="B1050" i="1"/>
  <c r="B1049" i="1"/>
  <c r="B1048" i="1"/>
  <c r="B1047" i="1"/>
  <c r="B1046" i="1"/>
  <c r="B1045" i="1"/>
  <c r="B1044" i="1"/>
  <c r="F994" i="1" l="1"/>
  <c r="F985" i="1" l="1"/>
  <c r="F984" i="1"/>
  <c r="F983" i="1"/>
  <c r="F982" i="1"/>
  <c r="F981" i="1"/>
  <c r="F980" i="1"/>
  <c r="E947" i="1" l="1"/>
  <c r="E946" i="1"/>
  <c r="B943" i="1"/>
  <c r="B942" i="1"/>
  <c r="B941" i="1"/>
  <c r="B940" i="1"/>
  <c r="B939" i="1"/>
  <c r="B938" i="1"/>
  <c r="B937" i="1"/>
  <c r="B936" i="1"/>
  <c r="B935" i="1"/>
  <c r="D933" i="1"/>
  <c r="B933" i="1"/>
  <c r="B915" i="1"/>
  <c r="B914" i="1"/>
  <c r="B913" i="1"/>
  <c r="B912" i="1"/>
  <c r="B911" i="1"/>
  <c r="B910" i="1"/>
  <c r="B909" i="1"/>
  <c r="B908" i="1"/>
  <c r="B907" i="1"/>
  <c r="B906" i="1"/>
  <c r="F855" i="1" l="1"/>
  <c r="F846" i="1"/>
  <c r="F845" i="1"/>
  <c r="F844" i="1"/>
  <c r="F843" i="1"/>
  <c r="F842" i="1"/>
  <c r="F841" i="1"/>
  <c r="E806" i="1"/>
  <c r="E805" i="1"/>
  <c r="D791" i="1" l="1"/>
  <c r="B802" i="1"/>
  <c r="B801" i="1"/>
  <c r="B800" i="1"/>
  <c r="B799" i="1"/>
  <c r="B798" i="1"/>
  <c r="B797" i="1"/>
  <c r="B796" i="1"/>
  <c r="B795" i="1"/>
  <c r="B794" i="1"/>
  <c r="B793" i="1"/>
  <c r="B791" i="1"/>
  <c r="F787" i="1"/>
  <c r="A8" i="6" l="1"/>
  <c r="F915" i="1"/>
  <c r="B770" i="1"/>
  <c r="B769" i="1"/>
  <c r="B768" i="1"/>
  <c r="B767" i="1"/>
  <c r="B766" i="1"/>
  <c r="B765" i="1"/>
  <c r="B764" i="1"/>
  <c r="B763" i="1"/>
  <c r="B762" i="1"/>
  <c r="B761" i="1"/>
  <c r="B760" i="1"/>
  <c r="F711" i="1" l="1"/>
  <c r="F710" i="1"/>
  <c r="F709" i="1"/>
  <c r="F708" i="1"/>
  <c r="F707" i="1"/>
  <c r="F706" i="1"/>
  <c r="B696" i="1"/>
  <c r="F678" i="1"/>
  <c r="B659" i="1"/>
  <c r="B658" i="1"/>
  <c r="B657" i="1"/>
  <c r="B656" i="1"/>
  <c r="B655" i="1"/>
  <c r="B654" i="1"/>
  <c r="B653" i="1"/>
  <c r="B652" i="1"/>
  <c r="B651" i="1"/>
  <c r="B650" i="1"/>
  <c r="B649" i="1"/>
  <c r="B648" i="1"/>
  <c r="E360" i="1"/>
  <c r="D7" i="6" l="1"/>
  <c r="F770" i="1"/>
  <c r="B606" i="1"/>
  <c r="B605" i="1"/>
  <c r="B604" i="1"/>
  <c r="B603" i="1"/>
  <c r="B602" i="1"/>
  <c r="B601" i="1"/>
  <c r="B600" i="1"/>
  <c r="B599" i="1"/>
  <c r="B598" i="1"/>
  <c r="B597" i="1"/>
  <c r="B596" i="1"/>
  <c r="B595" i="1"/>
  <c r="F610" i="1"/>
  <c r="F609" i="1"/>
  <c r="C611" i="1"/>
  <c r="C610" i="1"/>
  <c r="C609" i="1"/>
  <c r="E559" i="1"/>
  <c r="E558" i="1"/>
  <c r="E557" i="1"/>
  <c r="E556" i="1"/>
  <c r="E555" i="1"/>
  <c r="E554" i="1"/>
  <c r="F506" i="1" l="1"/>
  <c r="E490" i="1"/>
  <c r="E489" i="1"/>
  <c r="E488" i="1"/>
  <c r="E487" i="1"/>
  <c r="E486" i="1"/>
  <c r="E485" i="1"/>
  <c r="E484" i="1"/>
  <c r="E483" i="1"/>
  <c r="E482" i="1"/>
  <c r="E481" i="1"/>
  <c r="E480" i="1"/>
  <c r="E479" i="1"/>
  <c r="C7" i="6" l="1"/>
  <c r="F661" i="1"/>
  <c r="E435" i="1"/>
  <c r="E434" i="1"/>
  <c r="E433" i="1"/>
  <c r="E432" i="1"/>
  <c r="E431" i="1"/>
  <c r="E430" i="1"/>
  <c r="C421" i="1"/>
  <c r="F384" i="1"/>
  <c r="D374" i="1"/>
  <c r="B1382" i="1" s="1"/>
  <c r="E372" i="1"/>
  <c r="E371" i="1"/>
  <c r="E370" i="1"/>
  <c r="E369" i="1"/>
  <c r="E368" i="1"/>
  <c r="E367" i="1"/>
  <c r="E366" i="1"/>
  <c r="E365" i="1"/>
  <c r="E364" i="1"/>
  <c r="E363" i="1"/>
  <c r="E362" i="1"/>
  <c r="E361" i="1"/>
  <c r="B1055" i="1" l="1"/>
  <c r="B1265" i="1"/>
  <c r="B773" i="1"/>
  <c r="B918" i="1"/>
  <c r="B664" i="1"/>
  <c r="B492" i="1"/>
  <c r="B7" i="6"/>
  <c r="F488" i="1"/>
  <c r="A21" i="6"/>
  <c r="A66" i="5" l="1"/>
  <c r="F309" i="1"/>
  <c r="F302" i="1"/>
  <c r="F301" i="1"/>
  <c r="F300" i="1"/>
  <c r="F299" i="1"/>
  <c r="F298" i="1"/>
  <c r="F297" i="1"/>
  <c r="F1295" i="1" l="1"/>
  <c r="F1405" i="1"/>
  <c r="E1092" i="1"/>
  <c r="F1192" i="1"/>
  <c r="E819" i="1"/>
  <c r="E959" i="1"/>
  <c r="A147" i="5"/>
  <c r="A153" i="5" s="1"/>
  <c r="A233" i="5" s="1"/>
  <c r="A239" i="5" s="1"/>
  <c r="A270" i="5" s="1"/>
  <c r="A276" i="5" s="1"/>
  <c r="A307" i="5" s="1"/>
  <c r="E674" i="1"/>
  <c r="E518" i="1"/>
  <c r="E398" i="1"/>
  <c r="A114" i="5"/>
  <c r="F253" i="1"/>
  <c r="F366" i="1" s="1"/>
  <c r="A313" i="5" l="1"/>
  <c r="A341" i="5"/>
  <c r="A367" i="5" s="1"/>
  <c r="A396" i="5" s="1"/>
  <c r="A413" i="5" s="1"/>
  <c r="A430" i="5" s="1"/>
  <c r="A447" i="5" s="1"/>
  <c r="A461" i="5" s="1"/>
  <c r="A7" i="6"/>
  <c r="F195" i="1"/>
  <c r="D229" i="1"/>
  <c r="D228" i="1"/>
  <c r="D227" i="1"/>
  <c r="D226" i="1"/>
  <c r="D225" i="1"/>
  <c r="D224" i="1"/>
  <c r="D223" i="1"/>
  <c r="F222" i="1"/>
  <c r="F221" i="1"/>
  <c r="E196" i="1"/>
  <c r="E195" i="1"/>
  <c r="E194" i="1"/>
  <c r="E155" i="1"/>
  <c r="D110" i="1"/>
  <c r="C185" i="1" l="1"/>
  <c r="E185" i="1"/>
  <c r="E184" i="1"/>
  <c r="E183" i="1"/>
  <c r="E182" i="1"/>
  <c r="E181" i="1"/>
  <c r="E180" i="1"/>
  <c r="E179" i="1"/>
  <c r="E178" i="1"/>
  <c r="E177" i="1"/>
  <c r="E176" i="1"/>
  <c r="E175" i="1"/>
  <c r="E174" i="1"/>
  <c r="E173" i="1"/>
  <c r="E172" i="1"/>
  <c r="E171" i="1"/>
  <c r="E170" i="1"/>
  <c r="C157" i="1" l="1"/>
  <c r="C156" i="1"/>
  <c r="C155" i="1"/>
  <c r="C154" i="1"/>
  <c r="C153" i="1"/>
  <c r="C152" i="1"/>
  <c r="C151" i="1"/>
  <c r="C150" i="1"/>
  <c r="C149" i="1"/>
  <c r="C148" i="1"/>
  <c r="C147" i="1"/>
  <c r="C146" i="1"/>
  <c r="C145" i="1"/>
  <c r="C144" i="1"/>
  <c r="C143" i="1"/>
  <c r="C142" i="1"/>
  <c r="F140" i="1"/>
  <c r="F154" i="1"/>
  <c r="F153" i="1"/>
  <c r="F152" i="1"/>
  <c r="F151" i="1"/>
  <c r="F150" i="1"/>
  <c r="F149" i="1"/>
  <c r="F148" i="1"/>
  <c r="F147" i="1"/>
  <c r="F146" i="1"/>
  <c r="F145" i="1"/>
  <c r="F144" i="1"/>
  <c r="F143" i="1"/>
  <c r="F142" i="1"/>
  <c r="H134" i="1"/>
  <c r="C134" i="1"/>
  <c r="H133" i="1"/>
  <c r="C133" i="1"/>
  <c r="H132" i="1"/>
  <c r="C132" i="1"/>
  <c r="E130" i="1"/>
  <c r="E129" i="1"/>
  <c r="E128" i="1"/>
  <c r="D100" i="1"/>
  <c r="D99" i="1"/>
  <c r="D98" i="1"/>
  <c r="D97" i="1"/>
  <c r="D96" i="1"/>
  <c r="D95" i="1"/>
  <c r="D94" i="1"/>
  <c r="W18" i="5"/>
  <c r="V18" i="5"/>
  <c r="U18" i="5"/>
  <c r="W17" i="5"/>
  <c r="V17" i="5"/>
  <c r="U17" i="5"/>
  <c r="W16" i="5"/>
  <c r="V16" i="5"/>
  <c r="U16" i="5"/>
  <c r="W15" i="5"/>
  <c r="V15" i="5"/>
  <c r="U15" i="5"/>
  <c r="W14" i="5"/>
  <c r="V14" i="5"/>
  <c r="U14" i="5"/>
  <c r="W13" i="5"/>
  <c r="V13" i="5"/>
  <c r="U13" i="5"/>
  <c r="W12" i="5"/>
  <c r="V12" i="5"/>
  <c r="U12" i="5"/>
  <c r="W11" i="5"/>
  <c r="V11" i="5"/>
  <c r="U11" i="5"/>
  <c r="W10" i="5"/>
  <c r="V10" i="5"/>
  <c r="U10" i="5"/>
  <c r="W9" i="5"/>
  <c r="V9" i="5"/>
  <c r="U9" i="5"/>
  <c r="W8" i="5"/>
  <c r="V8" i="5"/>
  <c r="U8" i="5"/>
  <c r="W7" i="5"/>
  <c r="V7" i="5"/>
  <c r="U7" i="5"/>
  <c r="W6" i="5"/>
  <c r="V6" i="5"/>
  <c r="U6" i="5"/>
  <c r="W5" i="5"/>
  <c r="V5" i="5"/>
  <c r="U5" i="5"/>
  <c r="W4" i="5"/>
  <c r="V4" i="5"/>
  <c r="U4" i="5"/>
  <c r="W3" i="5"/>
  <c r="V3" i="5"/>
  <c r="U3" i="5"/>
  <c r="V2" i="5"/>
  <c r="U2" i="5"/>
  <c r="W2" i="5"/>
  <c r="E133" i="1" l="1"/>
  <c r="E134" i="1"/>
  <c r="E105" i="1"/>
  <c r="F114" i="1" s="1"/>
  <c r="E106" i="1"/>
  <c r="F118" i="1" s="1"/>
  <c r="E107" i="1"/>
  <c r="F122" i="1" s="1"/>
  <c r="E104" i="1"/>
  <c r="E108" i="1"/>
  <c r="E103" i="1"/>
  <c r="E102" i="1"/>
  <c r="G102" i="1" s="1"/>
  <c r="A23" i="5"/>
  <c r="A22" i="5"/>
  <c r="A19" i="5"/>
  <c r="S1" i="5"/>
  <c r="A21" i="5" l="1"/>
  <c r="B13" i="5"/>
  <c r="G18" i="5" s="1"/>
  <c r="B12" i="5"/>
  <c r="H18" i="5" s="1"/>
  <c r="H6" i="5"/>
  <c r="N12" i="5" s="1"/>
  <c r="K4" i="5"/>
  <c r="P9" i="5" s="1"/>
  <c r="K3" i="5"/>
  <c r="Q9" i="5" s="1"/>
  <c r="L2" i="5"/>
  <c r="R8" i="5" s="1"/>
  <c r="H9" i="5"/>
  <c r="K12" i="5" s="1"/>
  <c r="J4" i="5"/>
  <c r="P10" i="5" s="1"/>
  <c r="J3" i="5"/>
  <c r="Q10" i="5" s="1"/>
  <c r="K2" i="5"/>
  <c r="C8" i="5"/>
  <c r="L17" i="5" s="1"/>
  <c r="C4" i="5"/>
  <c r="P17" i="5" s="1"/>
  <c r="C3" i="5"/>
  <c r="Q17" i="5" s="1"/>
  <c r="D2" i="5"/>
  <c r="R16" i="5" s="1"/>
  <c r="C5" i="5"/>
  <c r="O17" i="5" s="1"/>
  <c r="B4" i="5"/>
  <c r="P18" i="5" s="1"/>
  <c r="B3" i="5"/>
  <c r="Q18" i="5" s="1"/>
  <c r="C2" i="5"/>
  <c r="L5" i="5"/>
  <c r="O8" i="5" s="1"/>
  <c r="M6" i="5"/>
  <c r="N7" i="5" s="1"/>
  <c r="H8" i="5"/>
  <c r="L12" i="5" s="1"/>
  <c r="B10" i="5"/>
  <c r="J18" i="5" s="1"/>
  <c r="E14" i="5"/>
  <c r="F15" i="5" s="1"/>
  <c r="B2" i="5"/>
  <c r="G2" i="5"/>
  <c r="O2" i="5"/>
  <c r="F3" i="5"/>
  <c r="Q14" i="5" s="1"/>
  <c r="N3" i="5"/>
  <c r="Q6" i="5" s="1"/>
  <c r="F4" i="5"/>
  <c r="P14" i="5" s="1"/>
  <c r="N4" i="5"/>
  <c r="P6" i="5" s="1"/>
  <c r="G5" i="5"/>
  <c r="O13" i="5" s="1"/>
  <c r="B6" i="5"/>
  <c r="N18" i="5" s="1"/>
  <c r="K8" i="5"/>
  <c r="L9" i="5" s="1"/>
  <c r="C10" i="5"/>
  <c r="J17" i="5" s="1"/>
  <c r="D14" i="5"/>
  <c r="F16" i="5" s="1"/>
  <c r="H2" i="5"/>
  <c r="R12" i="5" s="1"/>
  <c r="P2" i="5"/>
  <c r="R4" i="5" s="1"/>
  <c r="G3" i="5"/>
  <c r="Q13" i="5" s="1"/>
  <c r="O3" i="5"/>
  <c r="Q5" i="5" s="1"/>
  <c r="G4" i="5"/>
  <c r="P13" i="5" s="1"/>
  <c r="O4" i="5"/>
  <c r="P5" i="5" s="1"/>
  <c r="H5" i="5"/>
  <c r="O12" i="5" s="1"/>
  <c r="F6" i="5"/>
  <c r="N14" i="5" s="1"/>
  <c r="H7" i="5"/>
  <c r="M12" i="5" s="1"/>
  <c r="E9" i="5"/>
  <c r="K15" i="5" s="1"/>
  <c r="B11" i="5"/>
  <c r="I18" i="5" s="1"/>
  <c r="C15" i="5"/>
  <c r="E17" i="5" s="1"/>
  <c r="D15" i="5"/>
  <c r="E16" i="5" s="1"/>
  <c r="G137" i="1"/>
  <c r="F139" i="1"/>
  <c r="G139" i="1"/>
  <c r="G136" i="1"/>
  <c r="G110" i="1"/>
  <c r="G106" i="1"/>
  <c r="E2" i="5"/>
  <c r="I2" i="5"/>
  <c r="M2" i="5"/>
  <c r="Q2" i="5"/>
  <c r="D3" i="5"/>
  <c r="H3" i="5"/>
  <c r="Q12" i="5" s="1"/>
  <c r="L3" i="5"/>
  <c r="Q8" i="5" s="1"/>
  <c r="P3" i="5"/>
  <c r="Q4" i="5" s="1"/>
  <c r="D4" i="5"/>
  <c r="H4" i="5"/>
  <c r="P12" i="5" s="1"/>
  <c r="L4" i="5"/>
  <c r="P8" i="5" s="1"/>
  <c r="E5" i="5"/>
  <c r="O15" i="5" s="1"/>
  <c r="I5" i="5"/>
  <c r="O11" i="5" s="1"/>
  <c r="M5" i="5"/>
  <c r="O7" i="5" s="1"/>
  <c r="D6" i="5"/>
  <c r="I6" i="5"/>
  <c r="N11" i="5" s="1"/>
  <c r="C7" i="5"/>
  <c r="M17" i="5" s="1"/>
  <c r="K7" i="5"/>
  <c r="M9" i="5" s="1"/>
  <c r="D8" i="5"/>
  <c r="I9" i="5"/>
  <c r="K11" i="5" s="1"/>
  <c r="F10" i="5"/>
  <c r="J14" i="5" s="1"/>
  <c r="E11" i="5"/>
  <c r="I15" i="5" s="1"/>
  <c r="E12" i="5"/>
  <c r="H15" i="5" s="1"/>
  <c r="C13" i="5"/>
  <c r="G17" i="5" s="1"/>
  <c r="B16" i="5"/>
  <c r="D18" i="5" s="1"/>
  <c r="B15" i="5"/>
  <c r="E18" i="5" s="1"/>
  <c r="C14" i="5"/>
  <c r="F17" i="5" s="1"/>
  <c r="E13" i="5"/>
  <c r="G15" i="5" s="1"/>
  <c r="D12" i="5"/>
  <c r="H11" i="5"/>
  <c r="I12" i="5" s="1"/>
  <c r="D11" i="5"/>
  <c r="I10" i="5"/>
  <c r="J11" i="5" s="1"/>
  <c r="E10" i="5"/>
  <c r="J15" i="5" s="1"/>
  <c r="G9" i="5"/>
  <c r="K13" i="5" s="1"/>
  <c r="C9" i="5"/>
  <c r="K17" i="5" s="1"/>
  <c r="J8" i="5"/>
  <c r="L10" i="5" s="1"/>
  <c r="F8" i="5"/>
  <c r="L14" i="5" s="1"/>
  <c r="B8" i="5"/>
  <c r="L18" i="5" s="1"/>
  <c r="J7" i="5"/>
  <c r="M10" i="5" s="1"/>
  <c r="F7" i="5"/>
  <c r="M14" i="5" s="1"/>
  <c r="B7" i="5"/>
  <c r="M18" i="5" s="1"/>
  <c r="K6" i="5"/>
  <c r="N9" i="5" s="1"/>
  <c r="G6" i="5"/>
  <c r="N13" i="5" s="1"/>
  <c r="C6" i="5"/>
  <c r="N17" i="5" s="1"/>
  <c r="B17" i="5"/>
  <c r="C18" i="5" s="1"/>
  <c r="B14" i="5"/>
  <c r="F18" i="5" s="1"/>
  <c r="D13" i="5"/>
  <c r="G12" i="5"/>
  <c r="H13" i="5" s="1"/>
  <c r="C12" i="5"/>
  <c r="H17" i="5" s="1"/>
  <c r="G11" i="5"/>
  <c r="I13" i="5" s="1"/>
  <c r="C11" i="5"/>
  <c r="I17" i="5" s="1"/>
  <c r="H10" i="5"/>
  <c r="J12" i="5" s="1"/>
  <c r="D10" i="5"/>
  <c r="J9" i="5"/>
  <c r="K10" i="5" s="1"/>
  <c r="F9" i="5"/>
  <c r="K14" i="5" s="1"/>
  <c r="B9" i="5"/>
  <c r="K18" i="5" s="1"/>
  <c r="I8" i="5"/>
  <c r="L11" i="5" s="1"/>
  <c r="E8" i="5"/>
  <c r="L15" i="5" s="1"/>
  <c r="I7" i="5"/>
  <c r="M11" i="5" s="1"/>
  <c r="E7" i="5"/>
  <c r="M15" i="5" s="1"/>
  <c r="J6" i="5"/>
  <c r="N10" i="5" s="1"/>
  <c r="F2" i="5"/>
  <c r="J2" i="5"/>
  <c r="N2" i="5"/>
  <c r="E3" i="5"/>
  <c r="Q15" i="5" s="1"/>
  <c r="I3" i="5"/>
  <c r="Q11" i="5" s="1"/>
  <c r="M3" i="5"/>
  <c r="Q7" i="5" s="1"/>
  <c r="E4" i="5"/>
  <c r="P15" i="5" s="1"/>
  <c r="I4" i="5"/>
  <c r="P11" i="5" s="1"/>
  <c r="M4" i="5"/>
  <c r="P7" i="5" s="1"/>
  <c r="B5" i="5"/>
  <c r="O18" i="5" s="1"/>
  <c r="F5" i="5"/>
  <c r="O14" i="5" s="1"/>
  <c r="J5" i="5"/>
  <c r="O10" i="5" s="1"/>
  <c r="N5" i="5"/>
  <c r="O6" i="5" s="1"/>
  <c r="E6" i="5"/>
  <c r="N15" i="5" s="1"/>
  <c r="L6" i="5"/>
  <c r="N8" i="5" s="1"/>
  <c r="D7" i="5"/>
  <c r="L7" i="5"/>
  <c r="M8" i="5" s="1"/>
  <c r="G8" i="5"/>
  <c r="L13" i="5" s="1"/>
  <c r="D9" i="5"/>
  <c r="G10" i="5"/>
  <c r="J13" i="5" s="1"/>
  <c r="F11" i="5"/>
  <c r="I14" i="5" s="1"/>
  <c r="F12" i="5"/>
  <c r="H14" i="5" s="1"/>
  <c r="F13" i="5"/>
  <c r="G14" i="5" s="1"/>
  <c r="C16" i="5"/>
  <c r="D17" i="5" s="1"/>
  <c r="G7" i="5" l="1"/>
  <c r="M13" i="5" s="1"/>
  <c r="K5" i="5"/>
  <c r="O9" i="5" s="1"/>
  <c r="D5" i="5"/>
  <c r="O16" i="5" s="1"/>
  <c r="G16" i="5"/>
  <c r="H16" i="5"/>
  <c r="I16" i="5"/>
  <c r="J16" i="5"/>
  <c r="K16" i="5"/>
  <c r="L16" i="5"/>
  <c r="M16" i="5"/>
  <c r="N16" i="5"/>
  <c r="P16" i="5"/>
  <c r="Q16" i="5"/>
  <c r="R5" i="5"/>
  <c r="R11" i="5"/>
  <c r="R14" i="5"/>
  <c r="R17" i="5"/>
  <c r="R15" i="5"/>
  <c r="R18" i="5"/>
  <c r="R7" i="5"/>
  <c r="R10" i="5"/>
  <c r="R13" i="5"/>
  <c r="R3" i="5"/>
  <c r="R6" i="5"/>
  <c r="R9" i="5"/>
  <c r="Q19" i="5" l="1"/>
  <c r="S3" i="5" s="1"/>
  <c r="M19" i="5"/>
  <c r="S7" i="5" s="1"/>
  <c r="I19" i="5"/>
  <c r="S11" i="5" s="1"/>
  <c r="E19" i="5"/>
  <c r="S15" i="5" s="1"/>
  <c r="B19" i="5"/>
  <c r="S18" i="5" s="1"/>
  <c r="P19" i="5"/>
  <c r="S4" i="5" s="1"/>
  <c r="L19" i="5"/>
  <c r="S8" i="5" s="1"/>
  <c r="H19" i="5"/>
  <c r="S12" i="5" s="1"/>
  <c r="D19" i="5"/>
  <c r="R19" i="5"/>
  <c r="S2" i="5" s="1"/>
  <c r="N19" i="5"/>
  <c r="S6" i="5" s="1"/>
  <c r="J19" i="5"/>
  <c r="S10" i="5" s="1"/>
  <c r="F19" i="5"/>
  <c r="S14" i="5" s="1"/>
  <c r="O19" i="5"/>
  <c r="S5" i="5" s="1"/>
  <c r="K19" i="5"/>
  <c r="S9" i="5" s="1"/>
  <c r="G19" i="5"/>
  <c r="S13" i="5" s="1"/>
  <c r="C19" i="5"/>
  <c r="S17" i="5" s="1"/>
  <c r="S19" i="5"/>
  <c r="S16" i="5" l="1"/>
  <c r="F86" i="1"/>
  <c r="E86" i="1"/>
  <c r="F85" i="1"/>
  <c r="E85" i="1"/>
  <c r="F84" i="1"/>
  <c r="E84" i="1"/>
  <c r="F83" i="1"/>
  <c r="E83" i="1"/>
  <c r="F82" i="1"/>
  <c r="E82" i="1"/>
  <c r="F81" i="1"/>
  <c r="E81" i="1"/>
  <c r="F80" i="1"/>
  <c r="E80" i="1"/>
  <c r="F79" i="1"/>
  <c r="E79" i="1"/>
  <c r="F78" i="1"/>
  <c r="E78" i="1"/>
  <c r="C78" i="1"/>
  <c r="F77" i="1"/>
  <c r="E77" i="1"/>
  <c r="C77" i="1"/>
  <c r="F76" i="1"/>
  <c r="E76" i="1"/>
  <c r="C76" i="1"/>
  <c r="F75" i="1"/>
  <c r="E75" i="1"/>
  <c r="C75" i="1"/>
  <c r="F74" i="1"/>
  <c r="E74" i="1"/>
  <c r="C74" i="1"/>
  <c r="F73" i="1"/>
  <c r="E73" i="1"/>
  <c r="C73" i="1"/>
  <c r="F72" i="1"/>
  <c r="E72" i="1"/>
  <c r="C72" i="1"/>
  <c r="F71" i="1"/>
  <c r="E71" i="1"/>
  <c r="C71" i="1"/>
  <c r="G70" i="1"/>
  <c r="G66" i="1"/>
  <c r="G59" i="1"/>
  <c r="G61" i="1"/>
  <c r="G60" i="1"/>
  <c r="B17" i="1"/>
  <c r="B16" i="1"/>
  <c r="B15" i="1"/>
  <c r="B14" i="1"/>
  <c r="B13" i="1"/>
  <c r="B12" i="1"/>
  <c r="B11" i="1"/>
  <c r="B10" i="1"/>
  <c r="B9" i="1"/>
  <c r="B8" i="1"/>
  <c r="B7" i="1"/>
  <c r="B6" i="1"/>
  <c r="B5" i="1"/>
  <c r="B4" i="1"/>
  <c r="B3" i="1"/>
  <c r="B2" i="1"/>
  <c r="B1" i="1"/>
  <c r="F2"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 r="E2" i="1"/>
  <c r="D2" i="1"/>
  <c r="C15" i="1" l="1"/>
  <c r="H37" i="1"/>
  <c r="J37" i="1"/>
  <c r="J35" i="1"/>
  <c r="I36" i="1"/>
  <c r="G37" i="1"/>
  <c r="K37" i="1"/>
  <c r="H35" i="1"/>
  <c r="G36" i="1"/>
  <c r="K36" i="1"/>
  <c r="I37" i="1"/>
  <c r="C17" i="1"/>
  <c r="C6" i="1"/>
  <c r="C10" i="1"/>
  <c r="C14" i="1"/>
  <c r="I35" i="1"/>
  <c r="H36" i="1"/>
  <c r="L36" i="1"/>
  <c r="C3" i="1"/>
  <c r="C7" i="1"/>
  <c r="C11" i="1"/>
  <c r="C4" i="1"/>
  <c r="C8" i="1"/>
  <c r="C12" i="1"/>
  <c r="C16" i="1"/>
  <c r="G35" i="1"/>
  <c r="K35" i="1"/>
  <c r="J36" i="1"/>
  <c r="G52" i="1"/>
  <c r="E209" i="1" s="1"/>
  <c r="C31" i="1"/>
  <c r="C30" i="1"/>
  <c r="C32" i="1"/>
  <c r="C33" i="1"/>
  <c r="F30" i="1"/>
  <c r="F32" i="1"/>
  <c r="F33" i="1"/>
  <c r="E31" i="1"/>
  <c r="E33" i="1"/>
  <c r="E30" i="1"/>
  <c r="D31" i="1"/>
  <c r="D32" i="1"/>
  <c r="D33" i="1"/>
  <c r="E32" i="1"/>
  <c r="D30" i="1"/>
  <c r="F31" i="1"/>
  <c r="C1" i="1"/>
  <c r="C13" i="1"/>
  <c r="C2" i="1"/>
  <c r="C9" i="1"/>
  <c r="C5" i="1"/>
  <c r="G54" i="1" l="1"/>
  <c r="F11" i="6"/>
  <c r="H33" i="1"/>
  <c r="H30" i="1"/>
  <c r="H32" i="1"/>
  <c r="H31" i="1"/>
  <c r="A25" i="2"/>
  <c r="A17" i="3" s="1"/>
  <c r="A21" i="2"/>
  <c r="A13" i="3" s="1"/>
  <c r="A17" i="2"/>
  <c r="A9" i="3" s="1"/>
  <c r="A13" i="2"/>
  <c r="A5" i="3" s="1"/>
  <c r="A22" i="2"/>
  <c r="A14" i="3" s="1"/>
  <c r="A24" i="2"/>
  <c r="A16" i="3" s="1"/>
  <c r="A20" i="2"/>
  <c r="A12" i="3" s="1"/>
  <c r="A16" i="2"/>
  <c r="A8" i="3" s="1"/>
  <c r="A12" i="2"/>
  <c r="A4" i="3" s="1"/>
  <c r="A18" i="2"/>
  <c r="A10" i="3" s="1"/>
  <c r="A27" i="2"/>
  <c r="A19" i="3" s="1"/>
  <c r="A23" i="2"/>
  <c r="A15" i="3" s="1"/>
  <c r="A19" i="2"/>
  <c r="A11" i="3" s="1"/>
  <c r="A15" i="2"/>
  <c r="A7" i="3" s="1"/>
  <c r="A11" i="2"/>
  <c r="A3" i="3" s="1"/>
  <c r="A26" i="2"/>
  <c r="A18" i="3" s="1"/>
  <c r="A14" i="2"/>
  <c r="A6" i="3" s="1"/>
  <c r="P2" i="3" l="1"/>
  <c r="P1" i="5" s="1"/>
  <c r="P474" i="5" s="1"/>
  <c r="A4" i="5"/>
  <c r="C113" i="1" s="1"/>
  <c r="R2" i="3"/>
  <c r="R1" i="5" s="1"/>
  <c r="R474" i="5" s="1"/>
  <c r="A2" i="5"/>
  <c r="C111" i="1" s="1"/>
  <c r="B2" i="3"/>
  <c r="B1" i="5" s="1"/>
  <c r="B474" i="5" s="1"/>
  <c r="A18" i="5"/>
  <c r="C127" i="1" s="1"/>
  <c r="I2" i="3"/>
  <c r="I1" i="5" s="1"/>
  <c r="I474" i="5" s="1"/>
  <c r="A11" i="5"/>
  <c r="C120" i="1" s="1"/>
  <c r="L2" i="3"/>
  <c r="L1" i="5" s="1"/>
  <c r="L474" i="5" s="1"/>
  <c r="A8" i="5"/>
  <c r="C117" i="1" s="1"/>
  <c r="A17" i="5"/>
  <c r="C126" i="1" s="1"/>
  <c r="C2" i="3"/>
  <c r="C1" i="5" s="1"/>
  <c r="C474" i="5" s="1"/>
  <c r="M2" i="3"/>
  <c r="M1" i="5" s="1"/>
  <c r="M474" i="5" s="1"/>
  <c r="A7" i="5"/>
  <c r="C116" i="1" s="1"/>
  <c r="N2" i="3"/>
  <c r="N1" i="5" s="1"/>
  <c r="N474" i="5" s="1"/>
  <c r="A6" i="5"/>
  <c r="C115" i="1" s="1"/>
  <c r="K2" i="3"/>
  <c r="K1" i="5" s="1"/>
  <c r="K474" i="5" s="1"/>
  <c r="A9" i="5"/>
  <c r="C118" i="1" s="1"/>
  <c r="E2" i="3"/>
  <c r="E1" i="5" s="1"/>
  <c r="E474" i="5" s="1"/>
  <c r="A15" i="5"/>
  <c r="C124" i="1" s="1"/>
  <c r="H2" i="3"/>
  <c r="H1" i="5" s="1"/>
  <c r="H474" i="5" s="1"/>
  <c r="A12" i="5"/>
  <c r="C121" i="1" s="1"/>
  <c r="F2" i="3"/>
  <c r="F1" i="5" s="1"/>
  <c r="F474" i="5" s="1"/>
  <c r="A14" i="5"/>
  <c r="C123" i="1" s="1"/>
  <c r="A5" i="5"/>
  <c r="C114" i="1" s="1"/>
  <c r="O2" i="3"/>
  <c r="O1" i="5" s="1"/>
  <c r="O474" i="5" s="1"/>
  <c r="J2" i="3"/>
  <c r="J1" i="5" s="1"/>
  <c r="J474" i="5" s="1"/>
  <c r="A10" i="5"/>
  <c r="C119" i="1" s="1"/>
  <c r="Q2" i="3"/>
  <c r="Q1" i="5" s="1"/>
  <c r="Q474" i="5" s="1"/>
  <c r="A3" i="5"/>
  <c r="C112" i="1" s="1"/>
  <c r="A13" i="5"/>
  <c r="C122" i="1" s="1"/>
  <c r="G2" i="3"/>
  <c r="G1" i="5" s="1"/>
  <c r="G474" i="5" s="1"/>
  <c r="A16" i="5"/>
  <c r="C125" i="1" s="1"/>
  <c r="D2" i="3"/>
  <c r="D1" i="5" s="1"/>
  <c r="D474" i="5" s="1"/>
  <c r="D125" i="1" l="1"/>
  <c r="D114" i="1"/>
  <c r="D123" i="1"/>
  <c r="D124" i="1"/>
  <c r="D127" i="1"/>
  <c r="D118" i="1"/>
  <c r="D126" i="1"/>
  <c r="D121" i="1"/>
  <c r="D119" i="1"/>
  <c r="D117" i="1"/>
  <c r="D115" i="1"/>
  <c r="D112" i="1"/>
  <c r="D113" i="1"/>
  <c r="D122" i="1"/>
  <c r="D120" i="1"/>
  <c r="D116" i="1"/>
  <c r="C24" i="5"/>
  <c r="C42" i="5"/>
  <c r="G24" i="5"/>
  <c r="G42" i="5"/>
  <c r="F24" i="5"/>
  <c r="F42" i="5"/>
  <c r="E24" i="5"/>
  <c r="E42" i="5"/>
  <c r="N24" i="5"/>
  <c r="N42" i="5"/>
  <c r="I24" i="5"/>
  <c r="I42" i="5"/>
  <c r="R24" i="5"/>
  <c r="R42" i="5"/>
  <c r="J24" i="5"/>
  <c r="J42" i="5"/>
  <c r="D24" i="5"/>
  <c r="D42" i="5"/>
  <c r="O24" i="5"/>
  <c r="O42" i="5"/>
  <c r="Q24" i="5"/>
  <c r="Q42" i="5"/>
  <c r="H24" i="5"/>
  <c r="H42" i="5"/>
  <c r="K24" i="5"/>
  <c r="K42" i="5"/>
  <c r="M24" i="5"/>
  <c r="M42" i="5"/>
  <c r="L24" i="5"/>
  <c r="L42" i="5"/>
  <c r="B24" i="5"/>
  <c r="B42" i="5"/>
  <c r="D111" i="1"/>
  <c r="P24" i="5"/>
  <c r="P42" i="5"/>
  <c r="T14" i="5"/>
  <c r="I31" i="5"/>
  <c r="L40" i="5"/>
  <c r="K35" i="5"/>
  <c r="B25" i="5"/>
  <c r="M28" i="5"/>
  <c r="E30" i="5"/>
  <c r="J32" i="5"/>
  <c r="P37" i="5"/>
  <c r="O37" i="5"/>
  <c r="C26" i="5"/>
  <c r="D38" i="5"/>
  <c r="N36" i="5"/>
  <c r="H33" i="5"/>
  <c r="G27" i="5"/>
  <c r="Q40" i="5"/>
  <c r="R38" i="5"/>
  <c r="T17" i="5"/>
  <c r="H31" i="5"/>
  <c r="P28" i="5"/>
  <c r="D35" i="5"/>
  <c r="B29" i="5"/>
  <c r="G31" i="5"/>
  <c r="Q32" i="5"/>
  <c r="K31" i="5"/>
  <c r="F26" i="5"/>
  <c r="O35" i="5"/>
  <c r="M40" i="5"/>
  <c r="L25" i="5"/>
  <c r="J34" i="5"/>
  <c r="E32" i="5"/>
  <c r="I35" i="5"/>
  <c r="N40" i="5"/>
  <c r="R31" i="5"/>
  <c r="T2" i="5"/>
  <c r="I28" i="5"/>
  <c r="P36" i="5"/>
  <c r="H35" i="5"/>
  <c r="L27" i="5"/>
  <c r="E26" i="5"/>
  <c r="M31" i="5"/>
  <c r="B28" i="5"/>
  <c r="D36" i="5"/>
  <c r="N34" i="5"/>
  <c r="K26" i="5"/>
  <c r="O40" i="5"/>
  <c r="F38" i="5"/>
  <c r="Q33" i="5"/>
  <c r="J40" i="5"/>
  <c r="C28" i="5"/>
  <c r="G26" i="5"/>
  <c r="T13" i="5"/>
  <c r="O31" i="5"/>
  <c r="M25" i="5"/>
  <c r="J39" i="5"/>
  <c r="Q29" i="5"/>
  <c r="L30" i="5"/>
  <c r="C29" i="5"/>
  <c r="E28" i="5"/>
  <c r="I32" i="5"/>
  <c r="B34" i="5"/>
  <c r="D40" i="5"/>
  <c r="F27" i="5"/>
  <c r="P30" i="5"/>
  <c r="N35" i="5"/>
  <c r="H28" i="5"/>
  <c r="K33" i="5"/>
  <c r="R28" i="5"/>
  <c r="T3" i="5"/>
  <c r="N39" i="5"/>
  <c r="H25" i="5"/>
  <c r="E29" i="5"/>
  <c r="O28" i="5"/>
  <c r="C33" i="5"/>
  <c r="P33" i="5"/>
  <c r="M30" i="5"/>
  <c r="G30" i="5"/>
  <c r="D39" i="5"/>
  <c r="L29" i="5"/>
  <c r="K29" i="5"/>
  <c r="I29" i="5"/>
  <c r="J28" i="5"/>
  <c r="B37" i="5"/>
  <c r="F39" i="5"/>
  <c r="R32" i="5"/>
  <c r="T12" i="5"/>
  <c r="J36" i="5"/>
  <c r="D29" i="5"/>
  <c r="F31" i="5"/>
  <c r="C31" i="5"/>
  <c r="E36" i="5"/>
  <c r="B39" i="5"/>
  <c r="O27" i="5"/>
  <c r="Q25" i="5"/>
  <c r="N27" i="5"/>
  <c r="I33" i="5"/>
  <c r="K40" i="5"/>
  <c r="P40" i="5"/>
  <c r="L36" i="5"/>
  <c r="G28" i="5"/>
  <c r="M27" i="5"/>
  <c r="R37" i="5"/>
  <c r="T9" i="5"/>
  <c r="H36" i="5"/>
  <c r="D32" i="5"/>
  <c r="P32" i="5"/>
  <c r="J29" i="5"/>
  <c r="L28" i="5"/>
  <c r="O25" i="5"/>
  <c r="I34" i="5"/>
  <c r="C34" i="5"/>
  <c r="M32" i="5"/>
  <c r="G36" i="5"/>
  <c r="F32" i="5"/>
  <c r="Q30" i="5"/>
  <c r="N33" i="5"/>
  <c r="B36" i="5"/>
  <c r="E31" i="5"/>
  <c r="R25" i="5"/>
  <c r="T7" i="5"/>
  <c r="C40" i="5"/>
  <c r="B33" i="5"/>
  <c r="N31" i="5"/>
  <c r="E35" i="5"/>
  <c r="D30" i="5"/>
  <c r="F29" i="5"/>
  <c r="G25" i="5"/>
  <c r="I39" i="5"/>
  <c r="L35" i="5"/>
  <c r="O34" i="5"/>
  <c r="J37" i="5"/>
  <c r="K36" i="5"/>
  <c r="H29" i="5"/>
  <c r="Q34" i="5"/>
  <c r="P39" i="5"/>
  <c r="R33" i="5"/>
  <c r="T8" i="5"/>
  <c r="F40" i="5"/>
  <c r="E40" i="5"/>
  <c r="B30" i="5"/>
  <c r="N29" i="5"/>
  <c r="D34" i="5"/>
  <c r="M35" i="5"/>
  <c r="J38" i="5"/>
  <c r="K28" i="5"/>
  <c r="O33" i="5"/>
  <c r="C27" i="5"/>
  <c r="H34" i="5"/>
  <c r="I40" i="5"/>
  <c r="P31" i="5"/>
  <c r="G32" i="5"/>
  <c r="Q28" i="5"/>
  <c r="R30" i="5"/>
  <c r="T18" i="5"/>
  <c r="J26" i="5"/>
  <c r="I36" i="5"/>
  <c r="E33" i="5"/>
  <c r="H39" i="5"/>
  <c r="L26" i="5"/>
  <c r="N28" i="5"/>
  <c r="F25" i="5"/>
  <c r="O39" i="5"/>
  <c r="K38" i="5"/>
  <c r="C25" i="5"/>
  <c r="P35" i="5"/>
  <c r="G37" i="5"/>
  <c r="D25" i="5"/>
  <c r="M33" i="5"/>
  <c r="Q37" i="5"/>
  <c r="R27" i="5"/>
  <c r="T4" i="5"/>
  <c r="O29" i="5"/>
  <c r="H40" i="5"/>
  <c r="E37" i="5"/>
  <c r="M39" i="5"/>
  <c r="G35" i="5"/>
  <c r="Q36" i="5"/>
  <c r="C30" i="5"/>
  <c r="I30" i="5"/>
  <c r="D31" i="5"/>
  <c r="L31" i="5"/>
  <c r="N26" i="5"/>
  <c r="B35" i="5"/>
  <c r="K34" i="5"/>
  <c r="F37" i="5"/>
  <c r="J31" i="5"/>
  <c r="R36" i="5"/>
  <c r="T10" i="5"/>
  <c r="F33" i="5"/>
  <c r="C38" i="5"/>
  <c r="E34" i="5"/>
  <c r="D33" i="5"/>
  <c r="G40" i="5"/>
  <c r="Q35" i="5"/>
  <c r="N32" i="5"/>
  <c r="P34" i="5"/>
  <c r="I27" i="5"/>
  <c r="H38" i="5"/>
  <c r="L38" i="5"/>
  <c r="B27" i="5"/>
  <c r="M37" i="5"/>
  <c r="K37" i="5"/>
  <c r="O38" i="5"/>
  <c r="R39" i="5"/>
  <c r="T15" i="5"/>
  <c r="O30" i="5"/>
  <c r="M36" i="5"/>
  <c r="G34" i="5"/>
  <c r="H37" i="5"/>
  <c r="N38" i="5"/>
  <c r="K32" i="5"/>
  <c r="B38" i="5"/>
  <c r="I37" i="5"/>
  <c r="F30" i="5"/>
  <c r="C36" i="5"/>
  <c r="Q31" i="5"/>
  <c r="D28" i="5"/>
  <c r="J33" i="5"/>
  <c r="P38" i="5"/>
  <c r="L39" i="5"/>
  <c r="R29" i="5"/>
  <c r="T6" i="5"/>
  <c r="O32" i="5"/>
  <c r="I38" i="5"/>
  <c r="C39" i="5"/>
  <c r="B31" i="5"/>
  <c r="F36" i="5"/>
  <c r="E39" i="5"/>
  <c r="D27" i="5"/>
  <c r="H32" i="5"/>
  <c r="M29" i="5"/>
  <c r="G38" i="5"/>
  <c r="K39" i="5"/>
  <c r="P25" i="5"/>
  <c r="L32" i="5"/>
  <c r="J30" i="5"/>
  <c r="Q39" i="5"/>
  <c r="R35" i="5"/>
  <c r="T11" i="5"/>
  <c r="B32" i="5"/>
  <c r="G29" i="5"/>
  <c r="K30" i="5"/>
  <c r="C32" i="5"/>
  <c r="P27" i="5"/>
  <c r="O26" i="5"/>
  <c r="J25" i="5"/>
  <c r="H30" i="5"/>
  <c r="Q27" i="5"/>
  <c r="E38" i="5"/>
  <c r="M38" i="5"/>
  <c r="N37" i="5"/>
  <c r="L37" i="5"/>
  <c r="F28" i="5"/>
  <c r="D26" i="5"/>
  <c r="R26" i="5"/>
  <c r="T16" i="5"/>
  <c r="I25" i="5"/>
  <c r="P26" i="5"/>
  <c r="M26" i="5"/>
  <c r="L33" i="5"/>
  <c r="F35" i="5"/>
  <c r="C35" i="5"/>
  <c r="B26" i="5"/>
  <c r="J27" i="5"/>
  <c r="Q38" i="5"/>
  <c r="N25" i="5"/>
  <c r="G39" i="5"/>
  <c r="H27" i="5"/>
  <c r="K27" i="5"/>
  <c r="O36" i="5"/>
  <c r="E25" i="5"/>
  <c r="R34" i="5"/>
  <c r="T5" i="5"/>
  <c r="F34" i="5"/>
  <c r="C37" i="5"/>
  <c r="E27" i="5"/>
  <c r="M34" i="5"/>
  <c r="Q26" i="5"/>
  <c r="K25" i="5"/>
  <c r="B40" i="5"/>
  <c r="L34" i="5"/>
  <c r="D37" i="5"/>
  <c r="P29" i="5"/>
  <c r="J35" i="5"/>
  <c r="I26" i="5"/>
  <c r="G33" i="5"/>
  <c r="N30" i="5"/>
  <c r="H26" i="5"/>
  <c r="R40" i="5"/>
  <c r="D79" i="1" l="1"/>
  <c r="G77" i="1"/>
  <c r="A28" i="6" s="1"/>
  <c r="A29" i="6"/>
  <c r="G75" i="1"/>
  <c r="A26" i="6" s="1"/>
  <c r="D84" i="1"/>
  <c r="G78" i="1"/>
  <c r="U20" i="5"/>
  <c r="F257" i="1" s="1"/>
  <c r="U21" i="5"/>
  <c r="F258" i="1" s="1"/>
  <c r="U22" i="5"/>
  <c r="F259" i="1" s="1"/>
  <c r="G73" i="1"/>
  <c r="A24" i="6" s="1"/>
  <c r="G74" i="1"/>
  <c r="A25" i="6" s="1"/>
  <c r="G76" i="1"/>
  <c r="A27" i="6" s="1"/>
  <c r="D81" i="1"/>
  <c r="G71" i="1"/>
  <c r="A22" i="6" s="1"/>
  <c r="D82" i="1"/>
  <c r="D83" i="1"/>
  <c r="G72" i="1"/>
  <c r="A23" i="6" s="1"/>
  <c r="D80" i="1"/>
  <c r="D85" i="1"/>
  <c r="D86" i="1"/>
  <c r="C86" i="1" l="1"/>
  <c r="C79" i="1"/>
  <c r="C80" i="1"/>
  <c r="C84" i="1"/>
  <c r="C85" i="1"/>
  <c r="C82" i="1"/>
  <c r="C81" i="1"/>
  <c r="C83" i="1"/>
  <c r="D78" i="1" l="1"/>
  <c r="J87" i="1" s="1"/>
  <c r="D71" i="1"/>
  <c r="G86" i="1" s="1"/>
  <c r="D73" i="1"/>
  <c r="I86" i="1" s="1"/>
  <c r="D75" i="1"/>
  <c r="D77" i="1"/>
  <c r="D74" i="1"/>
  <c r="D76" i="1"/>
  <c r="H87" i="1" s="1"/>
  <c r="D72" i="1"/>
  <c r="H94" i="1" l="1"/>
  <c r="F121" i="1" s="1"/>
  <c r="H93" i="1"/>
  <c r="D106" i="1" s="1"/>
  <c r="H90" i="1"/>
  <c r="G105" i="1" s="1"/>
  <c r="H89" i="1"/>
  <c r="D102" i="1" s="1"/>
  <c r="J86" i="1"/>
  <c r="G87" i="1"/>
  <c r="H96" i="1"/>
  <c r="G98" i="1" s="1"/>
  <c r="H92" i="1"/>
  <c r="D105" i="1" s="1"/>
  <c r="H95" i="1"/>
  <c r="G80" i="1"/>
  <c r="H86" i="1"/>
  <c r="I87" i="1"/>
  <c r="G81" i="1"/>
  <c r="H91" i="1"/>
  <c r="D104" i="1" s="1"/>
  <c r="B108" i="1" l="1"/>
  <c r="F123" i="1"/>
  <c r="D108" i="1"/>
  <c r="D107" i="1"/>
  <c r="F119" i="1"/>
  <c r="G107" i="1"/>
  <c r="F117" i="1"/>
  <c r="D103" i="1"/>
  <c r="G103" i="1"/>
  <c r="G101" i="1"/>
  <c r="F115" i="1"/>
  <c r="F113" i="1"/>
  <c r="G111" i="1"/>
  <c r="G109" i="1"/>
  <c r="E114" i="1" l="1"/>
  <c r="G113" i="1" s="1"/>
  <c r="C102" i="1"/>
  <c r="C105" i="1"/>
  <c r="C108" i="1"/>
  <c r="C103" i="1"/>
  <c r="C104" i="1"/>
  <c r="C107" i="1"/>
  <c r="C106" i="1"/>
  <c r="G114" i="1" l="1"/>
  <c r="F128" i="1"/>
  <c r="G140" i="1" s="1"/>
  <c r="F130" i="1"/>
  <c r="I140" i="1" s="1"/>
  <c r="F129" i="1"/>
  <c r="H140" i="1" s="1"/>
  <c r="A44" i="5" s="1"/>
  <c r="M44" i="5" s="1"/>
  <c r="G115" i="1" l="1"/>
  <c r="B105" i="1"/>
  <c r="E118" i="1"/>
  <c r="D157" i="1"/>
  <c r="D153" i="1"/>
  <c r="D149" i="1"/>
  <c r="D145" i="1"/>
  <c r="D156" i="1"/>
  <c r="D152" i="1"/>
  <c r="D148" i="1"/>
  <c r="D144" i="1"/>
  <c r="D155" i="1"/>
  <c r="D151" i="1"/>
  <c r="D147" i="1"/>
  <c r="D143" i="1"/>
  <c r="D154" i="1"/>
  <c r="D150" i="1"/>
  <c r="D146" i="1"/>
  <c r="A43" i="5"/>
  <c r="P43" i="5" s="1"/>
  <c r="D142" i="1"/>
  <c r="F134" i="1"/>
  <c r="F133" i="1"/>
  <c r="F132" i="1"/>
  <c r="C158" i="1"/>
  <c r="C162" i="1" s="1"/>
  <c r="G128" i="1"/>
  <c r="C159" i="1"/>
  <c r="C163" i="1" s="1"/>
  <c r="C44" i="5"/>
  <c r="O44" i="5"/>
  <c r="F44" i="5"/>
  <c r="H44" i="5"/>
  <c r="N44" i="5"/>
  <c r="P44" i="5"/>
  <c r="G44" i="5"/>
  <c r="I44" i="5"/>
  <c r="J44" i="5"/>
  <c r="K44" i="5"/>
  <c r="L44" i="5"/>
  <c r="Q44" i="5"/>
  <c r="B44" i="5"/>
  <c r="R44" i="5"/>
  <c r="D44" i="5"/>
  <c r="E44" i="5"/>
  <c r="A45" i="5"/>
  <c r="C160" i="1"/>
  <c r="G117" i="1" l="1"/>
  <c r="G118" i="1" s="1"/>
  <c r="B106" i="1" s="1"/>
  <c r="B43" i="5"/>
  <c r="H43" i="5"/>
  <c r="I43" i="5"/>
  <c r="Q43" i="5"/>
  <c r="O43" i="5"/>
  <c r="G43" i="5"/>
  <c r="N43" i="5"/>
  <c r="F43" i="5"/>
  <c r="L43" i="5"/>
  <c r="C43" i="5"/>
  <c r="M43" i="5"/>
  <c r="E43" i="5"/>
  <c r="J43" i="5"/>
  <c r="D43" i="5"/>
  <c r="K43" i="5"/>
  <c r="R43" i="5"/>
  <c r="G134" i="1"/>
  <c r="F14" i="6"/>
  <c r="G133" i="1"/>
  <c r="F13" i="6"/>
  <c r="G132" i="1"/>
  <c r="F12" i="6"/>
  <c r="C164" i="1"/>
  <c r="R45" i="5"/>
  <c r="N45" i="5"/>
  <c r="J45" i="5"/>
  <c r="F45" i="5"/>
  <c r="Q45" i="5"/>
  <c r="M45" i="5"/>
  <c r="I45" i="5"/>
  <c r="E45" i="5"/>
  <c r="P45" i="5"/>
  <c r="P46" i="5" s="1"/>
  <c r="L45" i="5"/>
  <c r="H45" i="5"/>
  <c r="D45" i="5"/>
  <c r="O45" i="5"/>
  <c r="K45" i="5"/>
  <c r="G45" i="5"/>
  <c r="B45" i="5"/>
  <c r="C45" i="5"/>
  <c r="G119" i="1" l="1"/>
  <c r="E122" i="1"/>
  <c r="R46" i="5"/>
  <c r="G46" i="5"/>
  <c r="L46" i="5"/>
  <c r="Q46" i="5"/>
  <c r="H46" i="5"/>
  <c r="C46" i="5"/>
  <c r="B46" i="5"/>
  <c r="D46" i="5"/>
  <c r="I46" i="5"/>
  <c r="O46" i="5"/>
  <c r="J46" i="5"/>
  <c r="E46" i="5"/>
  <c r="F46" i="5"/>
  <c r="K46" i="5"/>
  <c r="M46" i="5"/>
  <c r="N46" i="5"/>
  <c r="E146" i="1"/>
  <c r="G146" i="1" s="1"/>
  <c r="E145" i="1"/>
  <c r="G145" i="1" s="1"/>
  <c r="E148" i="1"/>
  <c r="G148" i="1" s="1"/>
  <c r="E144" i="1"/>
  <c r="G144" i="1" s="1"/>
  <c r="E153" i="1"/>
  <c r="G153" i="1" s="1"/>
  <c r="E151" i="1"/>
  <c r="G151" i="1" s="1"/>
  <c r="E143" i="1"/>
  <c r="G143" i="1" s="1"/>
  <c r="C135" i="1" s="1"/>
  <c r="C136" i="1" s="1"/>
  <c r="E149" i="1"/>
  <c r="G149" i="1" s="1"/>
  <c r="E142" i="1"/>
  <c r="E150" i="1"/>
  <c r="G150" i="1" s="1"/>
  <c r="E147" i="1"/>
  <c r="G147" i="1" s="1"/>
  <c r="E152" i="1"/>
  <c r="G152" i="1" s="1"/>
  <c r="E154" i="1"/>
  <c r="G154" i="1" s="1"/>
  <c r="G121" i="1" l="1"/>
  <c r="G122" i="1" s="1"/>
  <c r="H145" i="1"/>
  <c r="H142" i="1"/>
  <c r="H151" i="1"/>
  <c r="H146" i="1"/>
  <c r="G142" i="1"/>
  <c r="H153" i="1"/>
  <c r="H150" i="1"/>
  <c r="H149" i="1"/>
  <c r="H148" i="1"/>
  <c r="H152" i="1"/>
  <c r="H144" i="1"/>
  <c r="H143" i="1"/>
  <c r="H147" i="1"/>
  <c r="H154" i="1"/>
  <c r="G123" i="1" l="1"/>
  <c r="B107" i="1"/>
  <c r="D159" i="1"/>
  <c r="E159" i="1" s="1"/>
  <c r="D160" i="1"/>
  <c r="E160" i="1" s="1"/>
  <c r="D158" i="1"/>
  <c r="E158" i="1" s="1"/>
  <c r="A106" i="1" l="1"/>
  <c r="A105" i="1"/>
  <c r="A107" i="1"/>
  <c r="A108" i="1"/>
  <c r="D161" i="1"/>
  <c r="G156" i="1" s="1"/>
  <c r="G157" i="1" s="1"/>
  <c r="G158" i="1" s="1"/>
  <c r="H158" i="1" s="1"/>
  <c r="A110" i="1" l="1"/>
  <c r="A111" i="1"/>
  <c r="A112" i="1"/>
  <c r="A113" i="1"/>
  <c r="B113" i="1" s="1"/>
  <c r="D164" i="1"/>
  <c r="E164" i="1" s="1"/>
  <c r="D163" i="1"/>
  <c r="E163" i="1" s="1"/>
  <c r="D162" i="1"/>
  <c r="B112" i="1" l="1"/>
  <c r="B111" i="1"/>
  <c r="B115" i="1" s="1"/>
  <c r="B110" i="1"/>
  <c r="E162" i="1"/>
  <c r="G165" i="1" s="1"/>
  <c r="F39" i="6" s="1"/>
  <c r="F40" i="6"/>
  <c r="G168" i="1"/>
  <c r="G160" i="1"/>
  <c r="G164" i="1"/>
  <c r="B114" i="1" l="1"/>
  <c r="G125" i="1" s="1"/>
  <c r="G161" i="1"/>
  <c r="A48" i="5"/>
  <c r="F263" i="1"/>
  <c r="C170" i="1"/>
  <c r="L177" i="1"/>
  <c r="L349" i="1" s="1"/>
  <c r="L472" i="1" s="1"/>
  <c r="L601" i="1" s="1"/>
  <c r="A609" i="1" l="1"/>
  <c r="D627" i="1"/>
  <c r="R48" i="5"/>
  <c r="E48" i="5"/>
  <c r="F48" i="5"/>
  <c r="I48" i="5"/>
  <c r="B48" i="5"/>
  <c r="J48" i="5"/>
  <c r="M48" i="5"/>
  <c r="D48" i="5"/>
  <c r="H48" i="5"/>
  <c r="N48" i="5"/>
  <c r="C48" i="5"/>
  <c r="G48" i="5"/>
  <c r="K48" i="5"/>
  <c r="Q48" i="5"/>
  <c r="L48" i="5"/>
  <c r="P48" i="5"/>
  <c r="O48" i="5"/>
  <c r="C171" i="1"/>
  <c r="R49" i="5" l="1"/>
  <c r="R50" i="5" s="1"/>
  <c r="R51" i="5" s="1"/>
  <c r="R52" i="5" s="1"/>
  <c r="R53" i="5" s="1"/>
  <c r="R54" i="5" s="1"/>
  <c r="R55" i="5" s="1"/>
  <c r="R56" i="5" s="1"/>
  <c r="R57" i="5" s="1"/>
  <c r="R58" i="5" s="1"/>
  <c r="R59" i="5" s="1"/>
  <c r="R60" i="5" s="1"/>
  <c r="R61" i="5" s="1"/>
  <c r="R62" i="5" s="1"/>
  <c r="R63" i="5" s="1"/>
  <c r="R71" i="5"/>
  <c r="P49" i="5"/>
  <c r="P50" i="5" s="1"/>
  <c r="P51" i="5" s="1"/>
  <c r="P52" i="5" s="1"/>
  <c r="P53" i="5" s="1"/>
  <c r="P54" i="5" s="1"/>
  <c r="P55" i="5" s="1"/>
  <c r="P56" i="5" s="1"/>
  <c r="P57" i="5" s="1"/>
  <c r="P58" i="5" s="1"/>
  <c r="P59" i="5" s="1"/>
  <c r="P60" i="5" s="1"/>
  <c r="P61" i="5" s="1"/>
  <c r="P62" i="5" s="1"/>
  <c r="P63" i="5" s="1"/>
  <c r="P71" i="5"/>
  <c r="G49" i="5"/>
  <c r="G50" i="5" s="1"/>
  <c r="G51" i="5" s="1"/>
  <c r="G52" i="5" s="1"/>
  <c r="G53" i="5" s="1"/>
  <c r="G54" i="5" s="1"/>
  <c r="G55" i="5" s="1"/>
  <c r="G56" i="5" s="1"/>
  <c r="G57" i="5" s="1"/>
  <c r="G58" i="5" s="1"/>
  <c r="G59" i="5" s="1"/>
  <c r="G60" i="5" s="1"/>
  <c r="G61" i="5" s="1"/>
  <c r="G62" i="5" s="1"/>
  <c r="G63" i="5" s="1"/>
  <c r="G71" i="5"/>
  <c r="D49" i="5"/>
  <c r="D50" i="5" s="1"/>
  <c r="D51" i="5" s="1"/>
  <c r="D52" i="5" s="1"/>
  <c r="D53" i="5" s="1"/>
  <c r="D54" i="5" s="1"/>
  <c r="D55" i="5" s="1"/>
  <c r="D56" i="5" s="1"/>
  <c r="D57" i="5" s="1"/>
  <c r="D58" i="5" s="1"/>
  <c r="D59" i="5" s="1"/>
  <c r="D60" i="5" s="1"/>
  <c r="D61" i="5" s="1"/>
  <c r="D62" i="5" s="1"/>
  <c r="D63" i="5" s="1"/>
  <c r="D71" i="5"/>
  <c r="I49" i="5"/>
  <c r="I50" i="5" s="1"/>
  <c r="I51" i="5" s="1"/>
  <c r="I52" i="5" s="1"/>
  <c r="I53" i="5" s="1"/>
  <c r="I54" i="5" s="1"/>
  <c r="I55" i="5" s="1"/>
  <c r="I56" i="5" s="1"/>
  <c r="I57" i="5" s="1"/>
  <c r="I58" i="5" s="1"/>
  <c r="I59" i="5" s="1"/>
  <c r="I60" i="5" s="1"/>
  <c r="I61" i="5" s="1"/>
  <c r="I62" i="5" s="1"/>
  <c r="I63" i="5" s="1"/>
  <c r="I71" i="5"/>
  <c r="L49" i="5"/>
  <c r="L50" i="5" s="1"/>
  <c r="L51" i="5" s="1"/>
  <c r="L52" i="5" s="1"/>
  <c r="L53" i="5" s="1"/>
  <c r="L54" i="5" s="1"/>
  <c r="L55" i="5" s="1"/>
  <c r="L56" i="5" s="1"/>
  <c r="L57" i="5" s="1"/>
  <c r="L58" i="5" s="1"/>
  <c r="L59" i="5" s="1"/>
  <c r="L60" i="5" s="1"/>
  <c r="L61" i="5" s="1"/>
  <c r="L62" i="5" s="1"/>
  <c r="L63" i="5" s="1"/>
  <c r="L71" i="5"/>
  <c r="M49" i="5"/>
  <c r="M50" i="5" s="1"/>
  <c r="M51" i="5" s="1"/>
  <c r="M52" i="5" s="1"/>
  <c r="M53" i="5" s="1"/>
  <c r="M54" i="5" s="1"/>
  <c r="M55" i="5" s="1"/>
  <c r="M56" i="5" s="1"/>
  <c r="M57" i="5" s="1"/>
  <c r="M58" i="5" s="1"/>
  <c r="M59" i="5" s="1"/>
  <c r="M60" i="5" s="1"/>
  <c r="M61" i="5" s="1"/>
  <c r="M62" i="5" s="1"/>
  <c r="M63" i="5" s="1"/>
  <c r="M71" i="5"/>
  <c r="F49" i="5"/>
  <c r="F50" i="5" s="1"/>
  <c r="F51" i="5" s="1"/>
  <c r="F52" i="5" s="1"/>
  <c r="F53" i="5" s="1"/>
  <c r="F54" i="5" s="1"/>
  <c r="F55" i="5" s="1"/>
  <c r="F56" i="5" s="1"/>
  <c r="F57" i="5" s="1"/>
  <c r="F58" i="5" s="1"/>
  <c r="F59" i="5" s="1"/>
  <c r="F60" i="5" s="1"/>
  <c r="F61" i="5" s="1"/>
  <c r="F62" i="5" s="1"/>
  <c r="F63" i="5" s="1"/>
  <c r="F71" i="5"/>
  <c r="Q49" i="5"/>
  <c r="Q50" i="5" s="1"/>
  <c r="Q51" i="5" s="1"/>
  <c r="Q52" i="5" s="1"/>
  <c r="Q53" i="5" s="1"/>
  <c r="Q54" i="5" s="1"/>
  <c r="Q55" i="5" s="1"/>
  <c r="Q56" i="5" s="1"/>
  <c r="Q57" i="5" s="1"/>
  <c r="Q58" i="5" s="1"/>
  <c r="Q59" i="5" s="1"/>
  <c r="Q60" i="5" s="1"/>
  <c r="Q61" i="5" s="1"/>
  <c r="Q62" i="5" s="1"/>
  <c r="Q63" i="5" s="1"/>
  <c r="Q71" i="5"/>
  <c r="N49" i="5"/>
  <c r="N50" i="5" s="1"/>
  <c r="N51" i="5" s="1"/>
  <c r="N52" i="5" s="1"/>
  <c r="N53" i="5" s="1"/>
  <c r="N54" i="5" s="1"/>
  <c r="N55" i="5" s="1"/>
  <c r="N56" i="5" s="1"/>
  <c r="N57" i="5" s="1"/>
  <c r="N58" i="5" s="1"/>
  <c r="N59" i="5" s="1"/>
  <c r="N60" i="5" s="1"/>
  <c r="N61" i="5" s="1"/>
  <c r="N62" i="5" s="1"/>
  <c r="N63" i="5" s="1"/>
  <c r="N71" i="5"/>
  <c r="J49" i="5"/>
  <c r="J50" i="5" s="1"/>
  <c r="J51" i="5" s="1"/>
  <c r="J52" i="5" s="1"/>
  <c r="J53" i="5" s="1"/>
  <c r="J54" i="5" s="1"/>
  <c r="J55" i="5" s="1"/>
  <c r="J56" i="5" s="1"/>
  <c r="J57" i="5" s="1"/>
  <c r="J58" i="5" s="1"/>
  <c r="J59" i="5" s="1"/>
  <c r="J60" i="5" s="1"/>
  <c r="J61" i="5" s="1"/>
  <c r="J62" i="5" s="1"/>
  <c r="J63" i="5" s="1"/>
  <c r="J71" i="5"/>
  <c r="E49" i="5"/>
  <c r="E50" i="5" s="1"/>
  <c r="E51" i="5" s="1"/>
  <c r="E52" i="5" s="1"/>
  <c r="E53" i="5" s="1"/>
  <c r="E54" i="5" s="1"/>
  <c r="E55" i="5" s="1"/>
  <c r="E56" i="5" s="1"/>
  <c r="E57" i="5" s="1"/>
  <c r="E58" i="5" s="1"/>
  <c r="E59" i="5" s="1"/>
  <c r="E60" i="5" s="1"/>
  <c r="E61" i="5" s="1"/>
  <c r="E62" i="5" s="1"/>
  <c r="E63" i="5" s="1"/>
  <c r="E71" i="5"/>
  <c r="O49" i="5"/>
  <c r="O50" i="5" s="1"/>
  <c r="O51" i="5" s="1"/>
  <c r="O52" i="5" s="1"/>
  <c r="O53" i="5" s="1"/>
  <c r="O54" i="5" s="1"/>
  <c r="O55" i="5" s="1"/>
  <c r="O56" i="5" s="1"/>
  <c r="O57" i="5" s="1"/>
  <c r="O58" i="5" s="1"/>
  <c r="O59" i="5" s="1"/>
  <c r="O60" i="5" s="1"/>
  <c r="O61" i="5" s="1"/>
  <c r="O62" i="5" s="1"/>
  <c r="O63" i="5" s="1"/>
  <c r="O71" i="5"/>
  <c r="K49" i="5"/>
  <c r="K50" i="5" s="1"/>
  <c r="K51" i="5" s="1"/>
  <c r="K52" i="5" s="1"/>
  <c r="K53" i="5" s="1"/>
  <c r="K54" i="5" s="1"/>
  <c r="K55" i="5" s="1"/>
  <c r="K56" i="5" s="1"/>
  <c r="K57" i="5" s="1"/>
  <c r="K58" i="5" s="1"/>
  <c r="K59" i="5" s="1"/>
  <c r="K60" i="5" s="1"/>
  <c r="K61" i="5" s="1"/>
  <c r="K62" i="5" s="1"/>
  <c r="K63" i="5" s="1"/>
  <c r="K71" i="5"/>
  <c r="H49" i="5"/>
  <c r="H50" i="5" s="1"/>
  <c r="H51" i="5" s="1"/>
  <c r="H52" i="5" s="1"/>
  <c r="H53" i="5" s="1"/>
  <c r="H54" i="5" s="1"/>
  <c r="H55" i="5" s="1"/>
  <c r="H56" i="5" s="1"/>
  <c r="H57" i="5" s="1"/>
  <c r="H58" i="5" s="1"/>
  <c r="H59" i="5" s="1"/>
  <c r="H60" i="5" s="1"/>
  <c r="H61" i="5" s="1"/>
  <c r="H62" i="5" s="1"/>
  <c r="H63" i="5" s="1"/>
  <c r="H71" i="5"/>
  <c r="C49" i="5"/>
  <c r="C50" i="5" s="1"/>
  <c r="C51" i="5" s="1"/>
  <c r="C52" i="5" s="1"/>
  <c r="C53" i="5" s="1"/>
  <c r="C54" i="5" s="1"/>
  <c r="C55" i="5" s="1"/>
  <c r="C56" i="5" s="1"/>
  <c r="C57" i="5" s="1"/>
  <c r="C58" i="5" s="1"/>
  <c r="C59" i="5" s="1"/>
  <c r="C60" i="5" s="1"/>
  <c r="C61" i="5" s="1"/>
  <c r="C62" i="5" s="1"/>
  <c r="C63" i="5" s="1"/>
  <c r="C71" i="5"/>
  <c r="B49" i="5"/>
  <c r="B50" i="5" s="1"/>
  <c r="B51" i="5" s="1"/>
  <c r="B52" i="5" s="1"/>
  <c r="B71" i="5"/>
  <c r="C172" i="1"/>
  <c r="B53" i="5" l="1"/>
  <c r="B54" i="5" s="1"/>
  <c r="B55" i="5" s="1"/>
  <c r="B56" i="5" s="1"/>
  <c r="B57" i="5" s="1"/>
  <c r="B58" i="5" s="1"/>
  <c r="B59" i="5" s="1"/>
  <c r="B60" i="5" s="1"/>
  <c r="B61" i="5" s="1"/>
  <c r="B62" i="5" s="1"/>
  <c r="B63" i="5" s="1"/>
  <c r="C173" i="1"/>
  <c r="C174" i="1" l="1"/>
  <c r="C175" i="1" l="1"/>
  <c r="C176" i="1" l="1"/>
  <c r="C177" i="1" l="1"/>
  <c r="C178" i="1" l="1"/>
  <c r="C179" i="1" l="1"/>
  <c r="C180" i="1" l="1"/>
  <c r="C181" i="1" l="1"/>
  <c r="C182" i="1" l="1"/>
  <c r="C183" i="1" l="1"/>
  <c r="C184" i="1" l="1"/>
  <c r="J191" i="1" s="1"/>
  <c r="J189" i="1" l="1"/>
  <c r="H190" i="1"/>
  <c r="G191" i="1"/>
  <c r="D173" i="1"/>
  <c r="I192" i="1"/>
  <c r="G189" i="1"/>
  <c r="D182" i="1"/>
  <c r="H191" i="1"/>
  <c r="H192" i="1"/>
  <c r="D179" i="1"/>
  <c r="I191" i="1"/>
  <c r="G190" i="1"/>
  <c r="I190" i="1"/>
  <c r="D170" i="1"/>
  <c r="J190" i="1"/>
  <c r="H189" i="1"/>
  <c r="D183" i="1"/>
  <c r="D181" i="1"/>
  <c r="D184" i="1"/>
  <c r="D171" i="1"/>
  <c r="D174" i="1"/>
  <c r="D172" i="1"/>
  <c r="G192" i="1"/>
  <c r="D177" i="1"/>
  <c r="D175" i="1"/>
  <c r="D185" i="1"/>
  <c r="D178" i="1"/>
  <c r="D180" i="1"/>
  <c r="D176" i="1"/>
  <c r="J192" i="1"/>
  <c r="I189" i="1"/>
  <c r="G171" i="1" l="1"/>
  <c r="C231" i="1" s="1"/>
  <c r="C249" i="1" s="1"/>
  <c r="C320" i="1" s="1"/>
  <c r="G174" i="1"/>
  <c r="C236" i="1" s="1"/>
  <c r="H171" i="1"/>
  <c r="C232" i="1" s="1"/>
  <c r="G195" i="1"/>
  <c r="G197" i="1" s="1"/>
  <c r="J174" i="1"/>
  <c r="C239" i="1" s="1"/>
  <c r="J177" i="1"/>
  <c r="C245" i="1" s="1"/>
  <c r="L174" i="1"/>
  <c r="C241" i="1" s="1"/>
  <c r="K177" i="1"/>
  <c r="C246" i="1" s="1"/>
  <c r="I174" i="1"/>
  <c r="C238" i="1" s="1"/>
  <c r="H177" i="1"/>
  <c r="C243" i="1" s="1"/>
  <c r="H174" i="1"/>
  <c r="C237" i="1" s="1"/>
  <c r="G177" i="1"/>
  <c r="C242" i="1" s="1"/>
  <c r="K171" i="1"/>
  <c r="C235" i="1" s="1"/>
  <c r="I177" i="1"/>
  <c r="C244" i="1" s="1"/>
  <c r="J171" i="1"/>
  <c r="C234" i="1" s="1"/>
  <c r="K174" i="1"/>
  <c r="C240" i="1" s="1"/>
  <c r="I171" i="1"/>
  <c r="C233" i="1" l="1"/>
  <c r="C251" i="1" s="1"/>
  <c r="C322" i="1" s="1"/>
  <c r="B21" i="6"/>
  <c r="F197" i="1"/>
  <c r="D194" i="1" s="1"/>
  <c r="C343" i="1"/>
  <c r="C279" i="1"/>
  <c r="D308" i="1"/>
  <c r="C258" i="1"/>
  <c r="C329" i="1" s="1"/>
  <c r="C260" i="1"/>
  <c r="C331" i="1" s="1"/>
  <c r="C264" i="1"/>
  <c r="C335" i="1" s="1"/>
  <c r="C252" i="1"/>
  <c r="C323" i="1" s="1"/>
  <c r="C255" i="1"/>
  <c r="C326" i="1" s="1"/>
  <c r="C259" i="1"/>
  <c r="C330" i="1" s="1"/>
  <c r="C250" i="1"/>
  <c r="C321" i="1" s="1"/>
  <c r="C262" i="1"/>
  <c r="C333" i="1" s="1"/>
  <c r="C261" i="1"/>
  <c r="C332" i="1" s="1"/>
  <c r="C263" i="1"/>
  <c r="C334" i="1" s="1"/>
  <c r="C254" i="1"/>
  <c r="C325" i="1" s="1"/>
  <c r="C253" i="1"/>
  <c r="C324" i="1" s="1"/>
  <c r="C256" i="1"/>
  <c r="C327" i="1" s="1"/>
  <c r="C257" i="1"/>
  <c r="C328" i="1" s="1"/>
  <c r="D195" i="1" l="1"/>
  <c r="C358" i="1"/>
  <c r="C357" i="1"/>
  <c r="C356" i="1"/>
  <c r="C355" i="1"/>
  <c r="C354" i="1"/>
  <c r="C353" i="1"/>
  <c r="C352" i="1"/>
  <c r="C351" i="1"/>
  <c r="C350" i="1"/>
  <c r="C349" i="1"/>
  <c r="C348" i="1"/>
  <c r="C347" i="1"/>
  <c r="C346" i="1"/>
  <c r="C345" i="1"/>
  <c r="C344" i="1"/>
  <c r="C294" i="1"/>
  <c r="C293" i="1"/>
  <c r="C292" i="1"/>
  <c r="C291" i="1"/>
  <c r="C290" i="1"/>
  <c r="C289" i="1"/>
  <c r="C288" i="1"/>
  <c r="C287" i="1"/>
  <c r="C286" i="1"/>
  <c r="C285" i="1"/>
  <c r="C284" i="1"/>
  <c r="C283" i="1"/>
  <c r="C282" i="1"/>
  <c r="C281" i="1"/>
  <c r="C280" i="1"/>
  <c r="D196" i="1" l="1"/>
  <c r="G204" i="1" s="1"/>
  <c r="F201" i="1" l="1"/>
  <c r="G202" i="1" s="1"/>
  <c r="F200" i="1"/>
  <c r="E201" i="1" l="1"/>
  <c r="E200" i="1"/>
  <c r="G200" i="1"/>
  <c r="G207" i="1" s="1"/>
  <c r="D211" i="1" l="1"/>
  <c r="D210" i="1"/>
  <c r="G209" i="1"/>
  <c r="G219" i="1" s="1"/>
  <c r="H209" i="1"/>
  <c r="G221" i="1" s="1"/>
  <c r="G213" i="1" l="1"/>
  <c r="E213" i="1" s="1"/>
  <c r="G210" i="1"/>
  <c r="E210" i="1" s="1"/>
  <c r="G211" i="1"/>
  <c r="E211" i="1" s="1"/>
  <c r="G212" i="1"/>
  <c r="H212" i="1"/>
  <c r="F212" i="1" s="1"/>
  <c r="H211" i="1"/>
  <c r="F211" i="1" s="1"/>
  <c r="H210" i="1"/>
  <c r="F210" i="1" s="1"/>
  <c r="H213" i="1"/>
  <c r="F213" i="1" s="1"/>
  <c r="E212" i="1" l="1"/>
  <c r="G220" i="1" s="1"/>
  <c r="E221" i="1" s="1"/>
  <c r="G222" i="1"/>
  <c r="E222" i="1" s="1"/>
  <c r="G225" i="1" l="1"/>
  <c r="D233" i="1" s="1"/>
  <c r="G239" i="1" l="1"/>
  <c r="D235" i="1"/>
  <c r="G233" i="1"/>
  <c r="D240" i="1"/>
  <c r="D245" i="1"/>
  <c r="G228" i="1"/>
  <c r="D237" i="1"/>
  <c r="D244" i="1"/>
  <c r="D234" i="1"/>
  <c r="C213" i="1"/>
  <c r="G231" i="1"/>
  <c r="D231" i="1"/>
  <c r="D242" i="1"/>
  <c r="D243" i="1"/>
  <c r="D232" i="1"/>
  <c r="D246" i="1"/>
  <c r="D241" i="1"/>
  <c r="G227" i="1"/>
  <c r="D236" i="1"/>
  <c r="D238" i="1"/>
  <c r="F227" i="1"/>
  <c r="E343" i="1" s="1"/>
  <c r="C466" i="1" s="1"/>
  <c r="C595" i="1" s="1"/>
  <c r="D637" i="1" s="1"/>
  <c r="C747" i="1" s="1"/>
  <c r="B896" i="1" s="1"/>
  <c r="B1031" i="1" s="1"/>
  <c r="B1164" i="1" s="1"/>
  <c r="B1241" i="1" s="1"/>
  <c r="B1358" i="1" s="1"/>
  <c r="B1470" i="1" s="1"/>
  <c r="B1579" i="1" s="1"/>
  <c r="B1644" i="1" s="1"/>
  <c r="B1706" i="1" s="1"/>
  <c r="B1761" i="1" s="1"/>
  <c r="B1807" i="1" s="1"/>
  <c r="D239" i="1"/>
  <c r="A10" i="6" l="1"/>
  <c r="G10" i="6" s="1"/>
  <c r="H354" i="1"/>
  <c r="E307" i="1"/>
  <c r="F319" i="1"/>
  <c r="E333" i="1" s="1"/>
  <c r="C220" i="1"/>
  <c r="C221" i="1"/>
  <c r="C219" i="1"/>
  <c r="C297" i="1"/>
  <c r="C298" i="1" s="1"/>
  <c r="G291" i="1"/>
  <c r="E297" i="1" s="1"/>
  <c r="G268" i="1"/>
  <c r="G286" i="1"/>
  <c r="C217" i="1"/>
  <c r="C218" i="1"/>
  <c r="C214" i="1"/>
  <c r="C216" i="1"/>
  <c r="C215" i="1"/>
  <c r="D214" i="1" l="1"/>
  <c r="E272" i="1" l="1"/>
  <c r="G232" i="1"/>
  <c r="E228" i="1" s="1"/>
  <c r="D215" i="1"/>
  <c r="E273" i="1" l="1"/>
  <c r="G234" i="1"/>
  <c r="C274" i="1"/>
  <c r="D216" i="1"/>
  <c r="E274" i="1" l="1"/>
  <c r="G269" i="1"/>
  <c r="D217" i="1"/>
  <c r="E275" i="1" s="1"/>
  <c r="E229" i="1"/>
  <c r="F228" i="1" s="1"/>
  <c r="C275" i="1"/>
  <c r="G14" i="6" l="1"/>
  <c r="D342" i="1"/>
  <c r="E319" i="1"/>
  <c r="K349" i="1"/>
  <c r="D218" i="1"/>
  <c r="C314" i="1"/>
  <c r="F307" i="1"/>
  <c r="F269" i="1"/>
  <c r="F242" i="1"/>
  <c r="F235" i="1"/>
  <c r="F238" i="1"/>
  <c r="D255" i="1"/>
  <c r="F233" i="1"/>
  <c r="F245" i="1"/>
  <c r="F241" i="1"/>
  <c r="D264" i="1"/>
  <c r="D261" i="1"/>
  <c r="D258" i="1"/>
  <c r="G238" i="1"/>
  <c r="D259" i="1"/>
  <c r="D250" i="1"/>
  <c r="F244" i="1"/>
  <c r="D249" i="1"/>
  <c r="F237" i="1"/>
  <c r="F232" i="1"/>
  <c r="F240" i="1"/>
  <c r="F239" i="1"/>
  <c r="D254" i="1"/>
  <c r="D253" i="1"/>
  <c r="F234" i="1"/>
  <c r="F231" i="1"/>
  <c r="E296" i="1"/>
  <c r="D257" i="1"/>
  <c r="D263" i="1"/>
  <c r="F236" i="1"/>
  <c r="F246" i="1"/>
  <c r="D251" i="1"/>
  <c r="D260" i="1"/>
  <c r="D262" i="1"/>
  <c r="D252" i="1"/>
  <c r="F264" i="1"/>
  <c r="F262" i="1" s="1"/>
  <c r="F243" i="1"/>
  <c r="D256" i="1"/>
  <c r="G237" i="1"/>
  <c r="C270" i="1"/>
  <c r="A76" i="5" l="1"/>
  <c r="P76" i="5" s="1"/>
  <c r="K472" i="1"/>
  <c r="K601" i="1" s="1"/>
  <c r="D628" i="1" s="1"/>
  <c r="D219" i="1"/>
  <c r="C315" i="1"/>
  <c r="F260" i="1"/>
  <c r="F261" i="1"/>
  <c r="C226" i="1"/>
  <c r="G5" i="6" s="1"/>
  <c r="C227" i="1"/>
  <c r="G6" i="6" s="1"/>
  <c r="C225" i="1"/>
  <c r="G4" i="6" s="1"/>
  <c r="C223" i="1"/>
  <c r="G2" i="6" s="1"/>
  <c r="C224" i="1"/>
  <c r="G3" i="6" s="1"/>
  <c r="G261" i="1" l="1"/>
  <c r="B76" i="5"/>
  <c r="B77" i="5" s="1"/>
  <c r="B78" i="5" s="1"/>
  <c r="E76" i="5"/>
  <c r="E77" i="5" s="1"/>
  <c r="E78" i="5" s="1"/>
  <c r="I76" i="5"/>
  <c r="I77" i="5" s="1"/>
  <c r="I78" i="5" s="1"/>
  <c r="K76" i="5"/>
  <c r="K77" i="5" s="1"/>
  <c r="K78" i="5" s="1"/>
  <c r="H76" i="5"/>
  <c r="H77" i="5" s="1"/>
  <c r="H78" i="5" s="1"/>
  <c r="M76" i="5"/>
  <c r="M77" i="5" s="1"/>
  <c r="M78" i="5" s="1"/>
  <c r="C76" i="5"/>
  <c r="C77" i="5" s="1"/>
  <c r="C78" i="5" s="1"/>
  <c r="G76" i="5"/>
  <c r="G77" i="5" s="1"/>
  <c r="G78" i="5" s="1"/>
  <c r="O76" i="5"/>
  <c r="O77" i="5" s="1"/>
  <c r="O78" i="5" s="1"/>
  <c r="F76" i="5"/>
  <c r="F77" i="5" s="1"/>
  <c r="F78" i="5" s="1"/>
  <c r="L76" i="5"/>
  <c r="L77" i="5" s="1"/>
  <c r="L78" i="5" s="1"/>
  <c r="R76" i="5"/>
  <c r="R77" i="5" s="1"/>
  <c r="R78" i="5" s="1"/>
  <c r="D76" i="5"/>
  <c r="D77" i="5" s="1"/>
  <c r="D78" i="5" s="1"/>
  <c r="J76" i="5"/>
  <c r="J77" i="5" s="1"/>
  <c r="J78" i="5" s="1"/>
  <c r="N76" i="5"/>
  <c r="N77" i="5" s="1"/>
  <c r="N78" i="5" s="1"/>
  <c r="Q76" i="5"/>
  <c r="Q77" i="5" s="1"/>
  <c r="Q78" i="5" s="1"/>
  <c r="P77" i="5"/>
  <c r="P78" i="5" s="1"/>
  <c r="C316" i="1"/>
  <c r="D220" i="1"/>
  <c r="C317" i="1" s="1"/>
  <c r="G244" i="1"/>
  <c r="F252" i="1"/>
  <c r="F365" i="1" s="1"/>
  <c r="F272" i="1" l="1"/>
  <c r="B22" i="6"/>
  <c r="F274" i="1"/>
  <c r="F273" i="1"/>
  <c r="F275" i="1"/>
  <c r="A525" i="1"/>
  <c r="G592" i="1"/>
  <c r="Q79" i="5"/>
  <c r="Q80" i="5" s="1"/>
  <c r="Q81" i="5" s="1"/>
  <c r="Q82" i="5" s="1"/>
  <c r="Q83" i="5" s="1"/>
  <c r="Q84" i="5" s="1"/>
  <c r="Q85" i="5" s="1"/>
  <c r="Q86" i="5" s="1"/>
  <c r="Q87" i="5" s="1"/>
  <c r="Q88" i="5" s="1"/>
  <c r="Q89" i="5" s="1"/>
  <c r="Q90" i="5" s="1"/>
  <c r="D79" i="5"/>
  <c r="D80" i="5" s="1"/>
  <c r="D81" i="5" s="1"/>
  <c r="D82" i="5" s="1"/>
  <c r="D83" i="5" s="1"/>
  <c r="D84" i="5" s="1"/>
  <c r="D85" i="5" s="1"/>
  <c r="D86" i="5" s="1"/>
  <c r="D87" i="5" s="1"/>
  <c r="D88" i="5" s="1"/>
  <c r="D89" i="5" s="1"/>
  <c r="D90" i="5" s="1"/>
  <c r="M79" i="5"/>
  <c r="M80" i="5" s="1"/>
  <c r="M81" i="5" s="1"/>
  <c r="M82" i="5" s="1"/>
  <c r="M83" i="5" s="1"/>
  <c r="M84" i="5" s="1"/>
  <c r="M85" i="5" s="1"/>
  <c r="M86" i="5" s="1"/>
  <c r="M87" i="5" s="1"/>
  <c r="M88" i="5" s="1"/>
  <c r="M89" i="5" s="1"/>
  <c r="M90" i="5" s="1"/>
  <c r="H79" i="5"/>
  <c r="H80" i="5" s="1"/>
  <c r="H81" i="5" s="1"/>
  <c r="H82" i="5" s="1"/>
  <c r="H83" i="5" s="1"/>
  <c r="H84" i="5" s="1"/>
  <c r="H85" i="5" s="1"/>
  <c r="H86" i="5" s="1"/>
  <c r="H87" i="5" s="1"/>
  <c r="H88" i="5" s="1"/>
  <c r="H89" i="5" s="1"/>
  <c r="H90" i="5" s="1"/>
  <c r="E79" i="5"/>
  <c r="E80" i="5" s="1"/>
  <c r="E81" i="5" s="1"/>
  <c r="E82" i="5" s="1"/>
  <c r="E83" i="5" s="1"/>
  <c r="E84" i="5" s="1"/>
  <c r="E85" i="5" s="1"/>
  <c r="E86" i="5" s="1"/>
  <c r="E87" i="5" s="1"/>
  <c r="E88" i="5" s="1"/>
  <c r="E89" i="5" s="1"/>
  <c r="E90" i="5" s="1"/>
  <c r="I79" i="5"/>
  <c r="I80" i="5" s="1"/>
  <c r="I81" i="5" s="1"/>
  <c r="I82" i="5" s="1"/>
  <c r="I83" i="5" s="1"/>
  <c r="I84" i="5" s="1"/>
  <c r="I85" i="5" s="1"/>
  <c r="I86" i="5" s="1"/>
  <c r="I87" i="5" s="1"/>
  <c r="I88" i="5" s="1"/>
  <c r="I89" i="5" s="1"/>
  <c r="I90" i="5" s="1"/>
  <c r="N79" i="5"/>
  <c r="N80" i="5" s="1"/>
  <c r="N81" i="5" s="1"/>
  <c r="N82" i="5" s="1"/>
  <c r="N83" i="5" s="1"/>
  <c r="N84" i="5" s="1"/>
  <c r="N85" i="5" s="1"/>
  <c r="N86" i="5" s="1"/>
  <c r="N87" i="5" s="1"/>
  <c r="N88" i="5" s="1"/>
  <c r="N89" i="5" s="1"/>
  <c r="N90" i="5" s="1"/>
  <c r="O79" i="5"/>
  <c r="O80" i="5" s="1"/>
  <c r="O81" i="5" s="1"/>
  <c r="O82" i="5" s="1"/>
  <c r="O83" i="5" s="1"/>
  <c r="O84" i="5" s="1"/>
  <c r="O85" i="5" s="1"/>
  <c r="O86" i="5" s="1"/>
  <c r="O87" i="5" s="1"/>
  <c r="O88" i="5" s="1"/>
  <c r="O89" i="5" s="1"/>
  <c r="O90" i="5" s="1"/>
  <c r="P79" i="5"/>
  <c r="P80" i="5" s="1"/>
  <c r="P81" i="5" s="1"/>
  <c r="P82" i="5" s="1"/>
  <c r="P83" i="5" s="1"/>
  <c r="P84" i="5" s="1"/>
  <c r="P85" i="5" s="1"/>
  <c r="P86" i="5" s="1"/>
  <c r="P87" i="5" s="1"/>
  <c r="P88" i="5" s="1"/>
  <c r="P89" i="5" s="1"/>
  <c r="P90" i="5" s="1"/>
  <c r="C79" i="5"/>
  <c r="C80" i="5" s="1"/>
  <c r="C81" i="5" s="1"/>
  <c r="C82" i="5" s="1"/>
  <c r="C83" i="5" s="1"/>
  <c r="C84" i="5" s="1"/>
  <c r="C85" i="5" s="1"/>
  <c r="C86" i="5" s="1"/>
  <c r="C87" i="5" s="1"/>
  <c r="C88" i="5" s="1"/>
  <c r="C89" i="5" s="1"/>
  <c r="C90" i="5" s="1"/>
  <c r="G79" i="5"/>
  <c r="G80" i="5" s="1"/>
  <c r="G81" i="5" s="1"/>
  <c r="G82" i="5" s="1"/>
  <c r="G83" i="5" s="1"/>
  <c r="G84" i="5" s="1"/>
  <c r="G85" i="5" s="1"/>
  <c r="G86" i="5" s="1"/>
  <c r="G87" i="5" s="1"/>
  <c r="G88" i="5" s="1"/>
  <c r="G89" i="5" s="1"/>
  <c r="G90" i="5" s="1"/>
  <c r="R79" i="5"/>
  <c r="R80" i="5" s="1"/>
  <c r="R81" i="5" s="1"/>
  <c r="R82" i="5" s="1"/>
  <c r="R83" i="5" s="1"/>
  <c r="R84" i="5" s="1"/>
  <c r="R85" i="5" s="1"/>
  <c r="R86" i="5" s="1"/>
  <c r="R87" i="5" s="1"/>
  <c r="R88" i="5" s="1"/>
  <c r="R89" i="5" s="1"/>
  <c r="R90" i="5" s="1"/>
  <c r="B79" i="5"/>
  <c r="B80" i="5" s="1"/>
  <c r="B81" i="5" s="1"/>
  <c r="B82" i="5" s="1"/>
  <c r="B83" i="5" s="1"/>
  <c r="B84" i="5" s="1"/>
  <c r="B85" i="5" s="1"/>
  <c r="B86" i="5" s="1"/>
  <c r="B87" i="5" s="1"/>
  <c r="B88" i="5" s="1"/>
  <c r="B89" i="5" s="1"/>
  <c r="B90" i="5" s="1"/>
  <c r="F79" i="5"/>
  <c r="F80" i="5" s="1"/>
  <c r="F81" i="5" s="1"/>
  <c r="F82" i="5" s="1"/>
  <c r="F83" i="5" s="1"/>
  <c r="F84" i="5" s="1"/>
  <c r="F85" i="5" s="1"/>
  <c r="F86" i="5" s="1"/>
  <c r="F87" i="5" s="1"/>
  <c r="F88" i="5" s="1"/>
  <c r="F89" i="5" s="1"/>
  <c r="F90" i="5" s="1"/>
  <c r="J79" i="5"/>
  <c r="J80" i="5" s="1"/>
  <c r="J81" i="5" s="1"/>
  <c r="J82" i="5" s="1"/>
  <c r="J83" i="5" s="1"/>
  <c r="J84" i="5" s="1"/>
  <c r="J85" i="5" s="1"/>
  <c r="J86" i="5" s="1"/>
  <c r="J87" i="5" s="1"/>
  <c r="J88" i="5" s="1"/>
  <c r="J89" i="5" s="1"/>
  <c r="J90" i="5" s="1"/>
  <c r="K79" i="5"/>
  <c r="K80" i="5" s="1"/>
  <c r="K81" i="5" s="1"/>
  <c r="K82" i="5" s="1"/>
  <c r="K83" i="5" s="1"/>
  <c r="K84" i="5" s="1"/>
  <c r="K85" i="5" s="1"/>
  <c r="K86" i="5" s="1"/>
  <c r="K87" i="5" s="1"/>
  <c r="K88" i="5" s="1"/>
  <c r="K89" i="5" s="1"/>
  <c r="K90" i="5" s="1"/>
  <c r="L79" i="5"/>
  <c r="L80" i="5" s="1"/>
  <c r="L81" i="5" s="1"/>
  <c r="L82" i="5" s="1"/>
  <c r="L83" i="5" s="1"/>
  <c r="L84" i="5" s="1"/>
  <c r="L85" i="5" s="1"/>
  <c r="L86" i="5" s="1"/>
  <c r="L87" i="5" s="1"/>
  <c r="L88" i="5" s="1"/>
  <c r="L89" i="5" s="1"/>
  <c r="L90" i="5" s="1"/>
  <c r="D279" i="1"/>
  <c r="D291" i="1"/>
  <c r="D292" i="1"/>
  <c r="D289" i="1"/>
  <c r="D286" i="1"/>
  <c r="D280" i="1"/>
  <c r="D283" i="1"/>
  <c r="D293" i="1"/>
  <c r="D290" i="1"/>
  <c r="D288" i="1"/>
  <c r="D285" i="1"/>
  <c r="D282" i="1"/>
  <c r="D284" i="1"/>
  <c r="D281" i="1"/>
  <c r="D287" i="1"/>
  <c r="D294" i="1"/>
  <c r="D375" i="1"/>
  <c r="C397" i="1"/>
  <c r="E346" i="1"/>
  <c r="G11" i="6"/>
  <c r="G252" i="1"/>
  <c r="G7" i="6"/>
  <c r="G270" i="1"/>
  <c r="G253" i="1"/>
  <c r="G281" i="1"/>
  <c r="G262" i="1"/>
  <c r="C271" i="1"/>
  <c r="G280" i="1"/>
  <c r="G264" i="1"/>
  <c r="E308" i="1"/>
  <c r="G271" i="1" l="1"/>
  <c r="G272" i="1"/>
  <c r="G273" i="1" s="1"/>
  <c r="G274" i="1" s="1"/>
  <c r="G310" i="1"/>
  <c r="G311" i="1" s="1"/>
  <c r="D274" i="1"/>
  <c r="G282" i="1"/>
  <c r="F403" i="1" s="1"/>
  <c r="F525" i="1" s="1"/>
  <c r="F685" i="1" s="1"/>
  <c r="D275" i="1"/>
  <c r="G283" i="1" l="1"/>
  <c r="G277" i="1"/>
  <c r="G13" i="6" l="1"/>
  <c r="C340" i="1"/>
  <c r="C341" i="1"/>
  <c r="C338" i="1"/>
  <c r="C339" i="1"/>
  <c r="C336" i="1"/>
  <c r="C337" i="1"/>
  <c r="D307" i="1"/>
  <c r="C65" i="5"/>
  <c r="I291" i="1"/>
  <c r="E299" i="1" s="1"/>
  <c r="G288" i="1"/>
  <c r="G276" i="1"/>
  <c r="C312" i="1"/>
  <c r="G12" i="6" l="1"/>
  <c r="C307" i="1"/>
  <c r="B65" i="5"/>
  <c r="E241" i="1"/>
  <c r="E239" i="1"/>
  <c r="E232" i="1"/>
  <c r="E236" i="1"/>
  <c r="E244" i="1"/>
  <c r="E238" i="1"/>
  <c r="H291" i="1"/>
  <c r="E298" i="1" s="1"/>
  <c r="E247" i="1"/>
  <c r="E231" i="1"/>
  <c r="E234" i="1"/>
  <c r="C300" i="1"/>
  <c r="C301" i="1" s="1"/>
  <c r="E235" i="1"/>
  <c r="E242" i="1"/>
  <c r="E245" i="1"/>
  <c r="E233" i="1"/>
  <c r="G287" i="1"/>
  <c r="E240" i="1"/>
  <c r="E246" i="1"/>
  <c r="E243" i="1"/>
  <c r="C311" i="1"/>
  <c r="E237" i="1"/>
  <c r="C305" i="1" l="1"/>
  <c r="Q66" i="5"/>
  <c r="R66" i="5"/>
  <c r="O66" i="5"/>
  <c r="P66" i="5"/>
  <c r="M66" i="5"/>
  <c r="N66" i="5"/>
  <c r="K66" i="5"/>
  <c r="L66" i="5"/>
  <c r="I66" i="5"/>
  <c r="J66" i="5"/>
  <c r="G66" i="5"/>
  <c r="H66" i="5"/>
  <c r="E66" i="5"/>
  <c r="F66" i="5"/>
  <c r="D66" i="5"/>
  <c r="C66" i="5"/>
  <c r="B66" i="5"/>
  <c r="C302" i="1"/>
  <c r="C303" i="1"/>
  <c r="C304" i="1"/>
  <c r="H286" i="1"/>
  <c r="I286" i="1" s="1"/>
  <c r="D276" i="1" l="1"/>
  <c r="G292" i="1"/>
  <c r="E300" i="1" s="1"/>
  <c r="D301" i="1" s="1"/>
  <c r="D303" i="1" l="1"/>
  <c r="D304" i="1"/>
  <c r="D305" i="1"/>
  <c r="D277" i="1"/>
  <c r="E284" i="1" s="1"/>
  <c r="D302" i="1"/>
  <c r="E287" i="1" l="1"/>
  <c r="E280" i="1"/>
  <c r="E295" i="1"/>
  <c r="E291" i="1"/>
  <c r="E294" i="1"/>
  <c r="E282" i="1"/>
  <c r="E292" i="1"/>
  <c r="E289" i="1"/>
  <c r="E293" i="1"/>
  <c r="E288" i="1"/>
  <c r="E283" i="1"/>
  <c r="E285" i="1"/>
  <c r="E279" i="1"/>
  <c r="E281" i="1"/>
  <c r="E286" i="1"/>
  <c r="E290" i="1"/>
  <c r="H287" i="1" l="1"/>
  <c r="I287" i="1" s="1"/>
  <c r="E277" i="1" l="1"/>
  <c r="E276" i="1"/>
  <c r="H292" i="1" l="1"/>
  <c r="E301" i="1" s="1"/>
  <c r="D341" i="1" s="1"/>
  <c r="F295" i="1"/>
  <c r="F280" i="1"/>
  <c r="F281" i="1"/>
  <c r="F284" i="1"/>
  <c r="F288" i="1"/>
  <c r="F282" i="1"/>
  <c r="F289" i="1"/>
  <c r="F279" i="1"/>
  <c r="F285" i="1"/>
  <c r="F292" i="1"/>
  <c r="F283" i="1"/>
  <c r="F287" i="1"/>
  <c r="F291" i="1"/>
  <c r="F286" i="1"/>
  <c r="F290" i="1"/>
  <c r="F293" i="1"/>
  <c r="F294" i="1"/>
  <c r="D336" i="1" l="1"/>
  <c r="D337" i="1"/>
  <c r="D339" i="1"/>
  <c r="D338" i="1"/>
  <c r="D340" i="1"/>
  <c r="E304" i="1"/>
  <c r="H288" i="1"/>
  <c r="E305" i="1"/>
  <c r="I288" i="1" l="1"/>
  <c r="I292" i="1" s="1"/>
  <c r="E302" i="1" s="1"/>
  <c r="H304" i="1" s="1"/>
  <c r="A67" i="5" l="1"/>
  <c r="M67" i="5" s="1"/>
  <c r="E344" i="1"/>
  <c r="H293" i="1"/>
  <c r="E303" i="1"/>
  <c r="C493" i="1" s="1"/>
  <c r="C665" i="1" s="1"/>
  <c r="C774" i="1" s="1"/>
  <c r="H301" i="1"/>
  <c r="H302" i="1"/>
  <c r="H300" i="1"/>
  <c r="G305" i="1"/>
  <c r="G308" i="1"/>
  <c r="C308" i="1"/>
  <c r="H303" i="1"/>
  <c r="D314" i="1" l="1"/>
  <c r="D315" i="1"/>
  <c r="D317" i="1"/>
  <c r="D316" i="1"/>
  <c r="C919" i="1"/>
  <c r="C1056" i="1" s="1"/>
  <c r="C1266" i="1" s="1"/>
  <c r="F369" i="1"/>
  <c r="A5" i="6"/>
  <c r="A13" i="6"/>
  <c r="G15" i="6" s="1"/>
  <c r="C467" i="1"/>
  <c r="C596" i="1" s="1"/>
  <c r="D638" i="1" s="1"/>
  <c r="C748" i="1" s="1"/>
  <c r="B897" i="1" s="1"/>
  <c r="B1033" i="1" s="1"/>
  <c r="B1166" i="1" s="1"/>
  <c r="B1243" i="1" s="1"/>
  <c r="B1360" i="1" s="1"/>
  <c r="B1472" i="1" s="1"/>
  <c r="B1582" i="1" s="1"/>
  <c r="B1647" i="1" s="1"/>
  <c r="B1709" i="1" s="1"/>
  <c r="B1764" i="1" s="1"/>
  <c r="B1810" i="1" s="1"/>
  <c r="G299" i="1"/>
  <c r="E375" i="1"/>
  <c r="G298" i="1"/>
  <c r="J67" i="5"/>
  <c r="I67" i="5"/>
  <c r="Q67" i="5"/>
  <c r="E262" i="1"/>
  <c r="O67" i="5"/>
  <c r="D67" i="5"/>
  <c r="B67" i="5"/>
  <c r="H67" i="5"/>
  <c r="R67" i="5"/>
  <c r="K67" i="5"/>
  <c r="F67" i="5"/>
  <c r="P67" i="5"/>
  <c r="C67" i="5"/>
  <c r="G67" i="5"/>
  <c r="N67" i="5"/>
  <c r="L67" i="5"/>
  <c r="E67" i="5"/>
  <c r="E249" i="1"/>
  <c r="E253" i="1"/>
  <c r="E257" i="1"/>
  <c r="E261" i="1"/>
  <c r="E252" i="1"/>
  <c r="E256" i="1"/>
  <c r="E260" i="1"/>
  <c r="E264" i="1"/>
  <c r="E251" i="1"/>
  <c r="E255" i="1"/>
  <c r="E259" i="1"/>
  <c r="E263" i="1"/>
  <c r="E250" i="1"/>
  <c r="E254" i="1"/>
  <c r="E258" i="1"/>
  <c r="E314" i="1" l="1"/>
  <c r="E315" i="1"/>
  <c r="C1383" i="1"/>
  <c r="A68" i="5"/>
  <c r="A69" i="5" l="1"/>
  <c r="G309" i="1" l="1"/>
  <c r="E316" i="1" l="1"/>
  <c r="E318" i="1" s="1"/>
  <c r="G313" i="1" s="1"/>
  <c r="G316" i="1" s="1"/>
  <c r="G312" i="1"/>
  <c r="D311" i="1"/>
  <c r="D312" i="1" s="1"/>
  <c r="E312" i="1" s="1"/>
  <c r="D309" i="1"/>
  <c r="G315" i="1" l="1"/>
  <c r="E311" i="1"/>
  <c r="A73" i="5" l="1"/>
  <c r="C30" i="6"/>
  <c r="G17" i="6"/>
  <c r="C29" i="6"/>
  <c r="H319" i="1"/>
  <c r="G319" i="1"/>
  <c r="A72" i="5"/>
  <c r="F72" i="5" l="1"/>
  <c r="F73" i="5" s="1"/>
  <c r="F74" i="5" s="1"/>
  <c r="D320" i="1"/>
  <c r="D325" i="1"/>
  <c r="D323" i="1"/>
  <c r="D322" i="1"/>
  <c r="D334" i="1"/>
  <c r="D327" i="1"/>
  <c r="D328" i="1"/>
  <c r="D330" i="1"/>
  <c r="D326" i="1"/>
  <c r="D329" i="1"/>
  <c r="D331" i="1"/>
  <c r="D321" i="1"/>
  <c r="D324" i="1"/>
  <c r="D333" i="1"/>
  <c r="D332" i="1"/>
  <c r="D335" i="1"/>
  <c r="E335" i="1"/>
  <c r="L72" i="5"/>
  <c r="L73" i="5" s="1"/>
  <c r="L74" i="5" s="1"/>
  <c r="H72" i="5"/>
  <c r="H73" i="5" s="1"/>
  <c r="H74" i="5" s="1"/>
  <c r="B72" i="5"/>
  <c r="B73" i="5" s="1"/>
  <c r="B74" i="5" s="1"/>
  <c r="Q72" i="5"/>
  <c r="Q73" i="5" s="1"/>
  <c r="Q74" i="5" s="1"/>
  <c r="E72" i="5"/>
  <c r="E73" i="5" s="1"/>
  <c r="E74" i="5" s="1"/>
  <c r="K72" i="5"/>
  <c r="K73" i="5" s="1"/>
  <c r="K74" i="5" s="1"/>
  <c r="O72" i="5"/>
  <c r="O73" i="5" s="1"/>
  <c r="O74" i="5" s="1"/>
  <c r="G72" i="5"/>
  <c r="G73" i="5" s="1"/>
  <c r="G74" i="5" s="1"/>
  <c r="R72" i="5"/>
  <c r="R73" i="5" s="1"/>
  <c r="R74" i="5" s="1"/>
  <c r="C72" i="5"/>
  <c r="C73" i="5" s="1"/>
  <c r="C74" i="5" s="1"/>
  <c r="D72" i="5"/>
  <c r="D73" i="5" s="1"/>
  <c r="D74" i="5" s="1"/>
  <c r="N72" i="5"/>
  <c r="N73" i="5" s="1"/>
  <c r="N74" i="5" s="1"/>
  <c r="M72" i="5"/>
  <c r="M73" i="5" s="1"/>
  <c r="M74" i="5" s="1"/>
  <c r="P72" i="5"/>
  <c r="P73" i="5" s="1"/>
  <c r="P74" i="5" s="1"/>
  <c r="I72" i="5"/>
  <c r="I73" i="5" s="1"/>
  <c r="I74" i="5" s="1"/>
  <c r="J72" i="5"/>
  <c r="J73" i="5" s="1"/>
  <c r="J74" i="5" s="1"/>
  <c r="E334" i="1"/>
  <c r="E337" i="1" l="1"/>
  <c r="E338" i="1"/>
  <c r="E321" i="1"/>
  <c r="G321" i="1" s="1"/>
  <c r="E322" i="1"/>
  <c r="G322" i="1" s="1"/>
  <c r="E327" i="1"/>
  <c r="G327" i="1" s="1"/>
  <c r="E326" i="1"/>
  <c r="G326" i="1" s="1"/>
  <c r="E328" i="1"/>
  <c r="G328" i="1" s="1"/>
  <c r="E325" i="1"/>
  <c r="G325" i="1" s="1"/>
  <c r="E331" i="1"/>
  <c r="G331" i="1" s="1"/>
  <c r="E332" i="1"/>
  <c r="E323" i="1"/>
  <c r="G323" i="1" s="1"/>
  <c r="E324" i="1"/>
  <c r="G324" i="1" s="1"/>
  <c r="E330" i="1"/>
  <c r="G330" i="1" s="1"/>
  <c r="E329" i="1"/>
  <c r="G329" i="1" s="1"/>
  <c r="G332" i="1" l="1"/>
  <c r="H332" i="1"/>
  <c r="H322" i="1"/>
  <c r="H326" i="1"/>
  <c r="H327" i="1"/>
  <c r="H321" i="1"/>
  <c r="H329" i="1"/>
  <c r="H328" i="1"/>
  <c r="H323" i="1"/>
  <c r="H331" i="1"/>
  <c r="H324" i="1"/>
  <c r="H325" i="1"/>
  <c r="H330" i="1"/>
  <c r="F335" i="1" l="1"/>
  <c r="F334" i="1"/>
  <c r="G334" i="1" l="1"/>
  <c r="G335" i="1" s="1"/>
  <c r="G336" i="1" s="1"/>
  <c r="H336" i="1" s="1"/>
  <c r="F337" i="1" l="1"/>
  <c r="F338" i="1"/>
  <c r="G40" i="6" l="1"/>
  <c r="G339" i="1"/>
  <c r="G338" i="1"/>
  <c r="G39" i="6" l="1"/>
  <c r="J349" i="1"/>
  <c r="J472" i="1" s="1"/>
  <c r="J601" i="1" s="1"/>
  <c r="A610" i="1" s="1"/>
  <c r="F367" i="1"/>
  <c r="A92" i="5"/>
  <c r="N92" i="5" s="1"/>
  <c r="N93" i="5" s="1"/>
  <c r="N94" i="5" s="1"/>
  <c r="N95" i="5" s="1"/>
  <c r="N96" i="5" s="1"/>
  <c r="N97" i="5" s="1"/>
  <c r="N98" i="5" s="1"/>
  <c r="N99" i="5" s="1"/>
  <c r="N100" i="5" s="1"/>
  <c r="N101" i="5" s="1"/>
  <c r="N102" i="5" s="1"/>
  <c r="N103" i="5" s="1"/>
  <c r="N104" i="5" s="1"/>
  <c r="N105" i="5" s="1"/>
  <c r="C342" i="1"/>
  <c r="D358" i="1" s="1"/>
  <c r="D346" i="1" l="1"/>
  <c r="D347" i="1"/>
  <c r="R92" i="5"/>
  <c r="R93" i="5" s="1"/>
  <c r="R94" i="5" s="1"/>
  <c r="R95" i="5" s="1"/>
  <c r="R96" i="5" s="1"/>
  <c r="R97" i="5" s="1"/>
  <c r="R98" i="5" s="1"/>
  <c r="R99" i="5" s="1"/>
  <c r="R100" i="5" s="1"/>
  <c r="R101" i="5" s="1"/>
  <c r="R102" i="5" s="1"/>
  <c r="R103" i="5" s="1"/>
  <c r="R104" i="5" s="1"/>
  <c r="R105" i="5" s="1"/>
  <c r="D350" i="1"/>
  <c r="D357" i="1"/>
  <c r="K92" i="5"/>
  <c r="K107" i="5" s="1"/>
  <c r="D355" i="1"/>
  <c r="D354" i="1"/>
  <c r="I92" i="5"/>
  <c r="I110" i="5" s="1"/>
  <c r="O92" i="5"/>
  <c r="O119" i="5" s="1"/>
  <c r="P92" i="5"/>
  <c r="P119" i="5" s="1"/>
  <c r="L92" i="5"/>
  <c r="L93" i="5" s="1"/>
  <c r="L94" i="5" s="1"/>
  <c r="L95" i="5" s="1"/>
  <c r="L96" i="5" s="1"/>
  <c r="L97" i="5" s="1"/>
  <c r="L98" i="5" s="1"/>
  <c r="L99" i="5" s="1"/>
  <c r="L100" i="5" s="1"/>
  <c r="L101" i="5" s="1"/>
  <c r="L102" i="5" s="1"/>
  <c r="L103" i="5" s="1"/>
  <c r="L104" i="5" s="1"/>
  <c r="L105" i="5" s="1"/>
  <c r="D629" i="1"/>
  <c r="E92" i="5"/>
  <c r="E119" i="5" s="1"/>
  <c r="N107" i="5"/>
  <c r="Q92" i="5"/>
  <c r="Q107" i="5" s="1"/>
  <c r="C92" i="5"/>
  <c r="C110" i="5" s="1"/>
  <c r="D92" i="5"/>
  <c r="D110" i="5" s="1"/>
  <c r="B92" i="5"/>
  <c r="B93" i="5" s="1"/>
  <c r="B94" i="5" s="1"/>
  <c r="B95" i="5" s="1"/>
  <c r="B96" i="5" s="1"/>
  <c r="B97" i="5" s="1"/>
  <c r="B98" i="5" s="1"/>
  <c r="B99" i="5" s="1"/>
  <c r="B100" i="5" s="1"/>
  <c r="B101" i="5" s="1"/>
  <c r="B102" i="5" s="1"/>
  <c r="B103" i="5" s="1"/>
  <c r="B104" i="5" s="1"/>
  <c r="B105" i="5" s="1"/>
  <c r="H92" i="5"/>
  <c r="H119" i="5" s="1"/>
  <c r="N110" i="5"/>
  <c r="G92" i="5"/>
  <c r="G93" i="5" s="1"/>
  <c r="G94" i="5" s="1"/>
  <c r="G95" i="5" s="1"/>
  <c r="G96" i="5" s="1"/>
  <c r="G97" i="5" s="1"/>
  <c r="G98" i="5" s="1"/>
  <c r="G99" i="5" s="1"/>
  <c r="G100" i="5" s="1"/>
  <c r="G101" i="5" s="1"/>
  <c r="G102" i="5" s="1"/>
  <c r="G103" i="5" s="1"/>
  <c r="G104" i="5" s="1"/>
  <c r="G105" i="5" s="1"/>
  <c r="F92" i="5"/>
  <c r="F119" i="5" s="1"/>
  <c r="M92" i="5"/>
  <c r="M119" i="5" s="1"/>
  <c r="J92" i="5"/>
  <c r="J119" i="5" s="1"/>
  <c r="N119" i="5"/>
  <c r="D353" i="1"/>
  <c r="D356" i="1"/>
  <c r="D349" i="1"/>
  <c r="D345" i="1"/>
  <c r="D344" i="1"/>
  <c r="D352" i="1"/>
  <c r="D343" i="1"/>
  <c r="D351" i="1"/>
  <c r="D348" i="1"/>
  <c r="I93" i="5" l="1"/>
  <c r="I94" i="5" s="1"/>
  <c r="I95" i="5" s="1"/>
  <c r="I96" i="5" s="1"/>
  <c r="I97" i="5" s="1"/>
  <c r="I98" i="5" s="1"/>
  <c r="I99" i="5" s="1"/>
  <c r="I100" i="5" s="1"/>
  <c r="I101" i="5" s="1"/>
  <c r="I102" i="5" s="1"/>
  <c r="I103" i="5" s="1"/>
  <c r="I104" i="5" s="1"/>
  <c r="I105" i="5" s="1"/>
  <c r="P107" i="5"/>
  <c r="E93" i="5"/>
  <c r="E94" i="5" s="1"/>
  <c r="E95" i="5" s="1"/>
  <c r="E96" i="5" s="1"/>
  <c r="E97" i="5" s="1"/>
  <c r="E98" i="5" s="1"/>
  <c r="E99" i="5" s="1"/>
  <c r="E100" i="5" s="1"/>
  <c r="E101" i="5" s="1"/>
  <c r="E102" i="5" s="1"/>
  <c r="E103" i="5" s="1"/>
  <c r="E104" i="5" s="1"/>
  <c r="E105" i="5" s="1"/>
  <c r="G107" i="5"/>
  <c r="O93" i="5"/>
  <c r="O94" i="5" s="1"/>
  <c r="O95" i="5" s="1"/>
  <c r="O96" i="5" s="1"/>
  <c r="O97" i="5" s="1"/>
  <c r="O98" i="5" s="1"/>
  <c r="O99" i="5" s="1"/>
  <c r="O100" i="5" s="1"/>
  <c r="O101" i="5" s="1"/>
  <c r="O102" i="5" s="1"/>
  <c r="O103" i="5" s="1"/>
  <c r="O104" i="5" s="1"/>
  <c r="O105" i="5" s="1"/>
  <c r="K93" i="5"/>
  <c r="K94" i="5" s="1"/>
  <c r="K95" i="5" s="1"/>
  <c r="K96" i="5" s="1"/>
  <c r="K97" i="5" s="1"/>
  <c r="K98" i="5" s="1"/>
  <c r="K99" i="5" s="1"/>
  <c r="K100" i="5" s="1"/>
  <c r="K101" i="5" s="1"/>
  <c r="K102" i="5" s="1"/>
  <c r="K103" i="5" s="1"/>
  <c r="K104" i="5" s="1"/>
  <c r="K105" i="5" s="1"/>
  <c r="K110" i="5"/>
  <c r="K119" i="5"/>
  <c r="G119" i="5"/>
  <c r="C93" i="5"/>
  <c r="C94" i="5" s="1"/>
  <c r="C95" i="5" s="1"/>
  <c r="C96" i="5" s="1"/>
  <c r="C97" i="5" s="1"/>
  <c r="C98" i="5" s="1"/>
  <c r="C99" i="5" s="1"/>
  <c r="C100" i="5" s="1"/>
  <c r="C101" i="5" s="1"/>
  <c r="C102" i="5" s="1"/>
  <c r="C103" i="5" s="1"/>
  <c r="C104" i="5" s="1"/>
  <c r="C105" i="5" s="1"/>
  <c r="R119" i="5"/>
  <c r="M93" i="5"/>
  <c r="M94" i="5" s="1"/>
  <c r="M95" i="5" s="1"/>
  <c r="M96" i="5" s="1"/>
  <c r="M97" i="5" s="1"/>
  <c r="M98" i="5" s="1"/>
  <c r="M99" i="5" s="1"/>
  <c r="M100" i="5" s="1"/>
  <c r="M101" i="5" s="1"/>
  <c r="M102" i="5" s="1"/>
  <c r="M103" i="5" s="1"/>
  <c r="M104" i="5" s="1"/>
  <c r="M105" i="5" s="1"/>
  <c r="F107" i="5"/>
  <c r="P110" i="5"/>
  <c r="P93" i="5"/>
  <c r="P94" i="5" s="1"/>
  <c r="P95" i="5" s="1"/>
  <c r="P96" i="5" s="1"/>
  <c r="P97" i="5" s="1"/>
  <c r="P98" i="5" s="1"/>
  <c r="P99" i="5" s="1"/>
  <c r="P100" i="5" s="1"/>
  <c r="P101" i="5" s="1"/>
  <c r="P102" i="5" s="1"/>
  <c r="P103" i="5" s="1"/>
  <c r="P104" i="5" s="1"/>
  <c r="P105" i="5" s="1"/>
  <c r="Q93" i="5"/>
  <c r="Q94" i="5" s="1"/>
  <c r="Q95" i="5" s="1"/>
  <c r="Q96" i="5" s="1"/>
  <c r="Q97" i="5" s="1"/>
  <c r="Q98" i="5" s="1"/>
  <c r="Q99" i="5" s="1"/>
  <c r="Q100" i="5" s="1"/>
  <c r="Q101" i="5" s="1"/>
  <c r="Q102" i="5" s="1"/>
  <c r="Q103" i="5" s="1"/>
  <c r="Q104" i="5" s="1"/>
  <c r="Q105" i="5" s="1"/>
  <c r="F110" i="5"/>
  <c r="H107" i="5"/>
  <c r="R107" i="5"/>
  <c r="Q110" i="5"/>
  <c r="B110" i="5"/>
  <c r="F93" i="5"/>
  <c r="F94" i="5" s="1"/>
  <c r="F95" i="5" s="1"/>
  <c r="F96" i="5" s="1"/>
  <c r="F97" i="5" s="1"/>
  <c r="F98" i="5" s="1"/>
  <c r="F99" i="5" s="1"/>
  <c r="F100" i="5" s="1"/>
  <c r="F101" i="5" s="1"/>
  <c r="F102" i="5" s="1"/>
  <c r="F103" i="5" s="1"/>
  <c r="F104" i="5" s="1"/>
  <c r="F105" i="5" s="1"/>
  <c r="R110" i="5"/>
  <c r="L110" i="5"/>
  <c r="B119" i="5"/>
  <c r="L119" i="5"/>
  <c r="B107" i="5"/>
  <c r="M107" i="5"/>
  <c r="H93" i="5"/>
  <c r="H94" i="5" s="1"/>
  <c r="H95" i="5" s="1"/>
  <c r="H96" i="5" s="1"/>
  <c r="H97" i="5" s="1"/>
  <c r="H98" i="5" s="1"/>
  <c r="H99" i="5" s="1"/>
  <c r="H100" i="5" s="1"/>
  <c r="H101" i="5" s="1"/>
  <c r="H102" i="5" s="1"/>
  <c r="H103" i="5" s="1"/>
  <c r="H104" i="5" s="1"/>
  <c r="H105" i="5" s="1"/>
  <c r="L107" i="5"/>
  <c r="I349" i="1"/>
  <c r="I350" i="1" s="1"/>
  <c r="I107" i="5"/>
  <c r="M110" i="5"/>
  <c r="H110" i="5"/>
  <c r="Q119" i="5"/>
  <c r="J107" i="5"/>
  <c r="C107" i="5"/>
  <c r="J110" i="5"/>
  <c r="D93" i="5"/>
  <c r="D94" i="5" s="1"/>
  <c r="D95" i="5" s="1"/>
  <c r="D96" i="5" s="1"/>
  <c r="D97" i="5" s="1"/>
  <c r="D98" i="5" s="1"/>
  <c r="D99" i="5" s="1"/>
  <c r="D100" i="5" s="1"/>
  <c r="D101" i="5" s="1"/>
  <c r="D102" i="5" s="1"/>
  <c r="D103" i="5" s="1"/>
  <c r="D104" i="5" s="1"/>
  <c r="D105" i="5" s="1"/>
  <c r="C119" i="5"/>
  <c r="I119" i="5"/>
  <c r="J93" i="5"/>
  <c r="J94" i="5" s="1"/>
  <c r="J95" i="5" s="1"/>
  <c r="J96" i="5" s="1"/>
  <c r="J97" i="5" s="1"/>
  <c r="J98" i="5" s="1"/>
  <c r="J99" i="5" s="1"/>
  <c r="J100" i="5" s="1"/>
  <c r="J101" i="5" s="1"/>
  <c r="J102" i="5" s="1"/>
  <c r="J103" i="5" s="1"/>
  <c r="J104" i="5" s="1"/>
  <c r="J105" i="5" s="1"/>
  <c r="D107" i="5"/>
  <c r="O110" i="5"/>
  <c r="E110" i="5"/>
  <c r="G110" i="5"/>
  <c r="D119" i="5"/>
  <c r="O107" i="5"/>
  <c r="E107" i="5"/>
  <c r="G349" i="1"/>
  <c r="C371" i="1" s="1"/>
  <c r="A418" i="1" s="1"/>
  <c r="G343" i="1"/>
  <c r="G345" i="1" s="1"/>
  <c r="L346" i="1"/>
  <c r="C370" i="1" s="1"/>
  <c r="A417" i="1" s="1"/>
  <c r="H346" i="1"/>
  <c r="H347" i="1" s="1"/>
  <c r="I343" i="1"/>
  <c r="I345" i="1" s="1"/>
  <c r="G346" i="1"/>
  <c r="G348" i="1" s="1"/>
  <c r="I346" i="1"/>
  <c r="I347" i="1" s="1"/>
  <c r="J346" i="1"/>
  <c r="J347" i="1" s="1"/>
  <c r="H343" i="1"/>
  <c r="H344" i="1" s="1"/>
  <c r="K346" i="1"/>
  <c r="C369" i="1" s="1"/>
  <c r="A416" i="1" s="1"/>
  <c r="H349" i="1"/>
  <c r="C372" i="1" s="1"/>
  <c r="A419" i="1" s="1"/>
  <c r="K343" i="1"/>
  <c r="K344" i="1" s="1"/>
  <c r="J343" i="1"/>
  <c r="J344" i="1" s="1"/>
  <c r="I351" i="1" l="1"/>
  <c r="C373" i="1"/>
  <c r="A420" i="1" s="1"/>
  <c r="A479" i="1" s="1"/>
  <c r="L347" i="1"/>
  <c r="C367" i="1"/>
  <c r="A414" i="1" s="1"/>
  <c r="A473" i="1" s="1"/>
  <c r="L348" i="1"/>
  <c r="H351" i="1"/>
  <c r="H350" i="1"/>
  <c r="G351" i="1"/>
  <c r="K347" i="1"/>
  <c r="C365" i="1"/>
  <c r="A412" i="1" s="1"/>
  <c r="B412" i="1" s="1"/>
  <c r="G350" i="1"/>
  <c r="G344" i="1"/>
  <c r="C360" i="1"/>
  <c r="A407" i="1" s="1"/>
  <c r="G347" i="1"/>
  <c r="K348" i="1"/>
  <c r="J345" i="1"/>
  <c r="C363" i="1"/>
  <c r="A410" i="1" s="1"/>
  <c r="C442" i="1" s="1"/>
  <c r="C366" i="1"/>
  <c r="A413" i="1" s="1"/>
  <c r="C445" i="1" s="1"/>
  <c r="C361" i="1"/>
  <c r="A408" i="1" s="1"/>
  <c r="C440" i="1" s="1"/>
  <c r="I344" i="1"/>
  <c r="H345" i="1"/>
  <c r="C362" i="1"/>
  <c r="A409" i="1" s="1"/>
  <c r="B409" i="1" s="1"/>
  <c r="H348" i="1"/>
  <c r="K345" i="1"/>
  <c r="J348" i="1"/>
  <c r="C364" i="1"/>
  <c r="A411" i="1" s="1"/>
  <c r="C443" i="1" s="1"/>
  <c r="C368" i="1"/>
  <c r="A415" i="1" s="1"/>
  <c r="C447" i="1" s="1"/>
  <c r="I348" i="1"/>
  <c r="B418" i="1"/>
  <c r="B416" i="1"/>
  <c r="B417" i="1"/>
  <c r="B419" i="1"/>
  <c r="C451" i="1"/>
  <c r="A478" i="1"/>
  <c r="C450" i="1"/>
  <c r="A477" i="1"/>
  <c r="C449" i="1"/>
  <c r="A476" i="1"/>
  <c r="C448" i="1"/>
  <c r="A475" i="1"/>
  <c r="B414" i="1" l="1"/>
  <c r="B420" i="1"/>
  <c r="C446" i="1"/>
  <c r="C452" i="1"/>
  <c r="B415" i="1"/>
  <c r="C441" i="1"/>
  <c r="A471" i="1"/>
  <c r="D360" i="1"/>
  <c r="D361" i="1" s="1"/>
  <c r="D362" i="1" s="1"/>
  <c r="D363" i="1" s="1"/>
  <c r="D364" i="1" s="1"/>
  <c r="D365" i="1" s="1"/>
  <c r="D366" i="1" s="1"/>
  <c r="D367" i="1" s="1"/>
  <c r="D368" i="1" s="1"/>
  <c r="D369" i="1" s="1"/>
  <c r="D370" i="1" s="1"/>
  <c r="D371" i="1" s="1"/>
  <c r="D372" i="1" s="1"/>
  <c r="B408" i="1"/>
  <c r="A469" i="1"/>
  <c r="B411" i="1"/>
  <c r="B410" i="1"/>
  <c r="C444" i="1"/>
  <c r="B413" i="1"/>
  <c r="A472" i="1"/>
  <c r="A468" i="1"/>
  <c r="A470" i="1"/>
  <c r="A467" i="1"/>
  <c r="A474" i="1"/>
  <c r="B407" i="1"/>
  <c r="C439" i="1"/>
  <c r="A466" i="1"/>
  <c r="G387" i="1" l="1"/>
  <c r="F396" i="1" s="1"/>
  <c r="G392" i="1" l="1"/>
  <c r="A439" i="1"/>
  <c r="A444" i="1"/>
  <c r="A448" i="1"/>
  <c r="H11" i="6"/>
  <c r="F532" i="1"/>
  <c r="A144" i="5" s="1"/>
  <c r="F1198" i="1"/>
  <c r="F395" i="1"/>
  <c r="G390" i="1"/>
  <c r="A438" i="1"/>
  <c r="A441" i="1"/>
  <c r="A445" i="1"/>
  <c r="A449" i="1"/>
  <c r="A230" i="5"/>
  <c r="F833" i="1"/>
  <c r="D1296" i="1"/>
  <c r="A388" i="1"/>
  <c r="A111" i="5" s="1"/>
  <c r="N111" i="5" s="1"/>
  <c r="A440" i="1"/>
  <c r="A443" i="1"/>
  <c r="A447" i="1"/>
  <c r="F410" i="1"/>
  <c r="F690" i="1"/>
  <c r="F1103" i="1"/>
  <c r="F394" i="1"/>
  <c r="A437" i="1"/>
  <c r="A442" i="1"/>
  <c r="A446" i="1"/>
  <c r="A450" i="1"/>
  <c r="A524" i="1"/>
  <c r="F970" i="1"/>
  <c r="A304" i="5" s="1"/>
  <c r="F1418" i="1"/>
  <c r="F1520" i="1" s="1"/>
  <c r="E111" i="5" l="1"/>
  <c r="O111" i="5"/>
  <c r="M111" i="5"/>
  <c r="H111" i="5"/>
  <c r="D111" i="5"/>
  <c r="G111" i="5"/>
  <c r="P111" i="5"/>
  <c r="I111" i="5"/>
  <c r="K111" i="5"/>
  <c r="C111" i="5"/>
  <c r="F111" i="5"/>
  <c r="J111" i="5"/>
  <c r="R111" i="5"/>
  <c r="L111" i="5"/>
  <c r="Q111" i="5"/>
  <c r="B111" i="5"/>
  <c r="G393" i="1"/>
  <c r="B397" i="1" l="1"/>
  <c r="A399" i="1"/>
  <c r="A395" i="1"/>
  <c r="A391" i="1"/>
  <c r="B399" i="1"/>
  <c r="A392" i="1"/>
  <c r="A396" i="1"/>
  <c r="A400" i="1"/>
  <c r="B393" i="1"/>
  <c r="B401" i="1"/>
  <c r="A389" i="1"/>
  <c r="A393" i="1"/>
  <c r="A397" i="1"/>
  <c r="B389" i="1"/>
  <c r="B395" i="1"/>
  <c r="B391" i="1"/>
  <c r="A390" i="1"/>
  <c r="A394" i="1"/>
  <c r="A398" i="1"/>
  <c r="B390" i="1"/>
  <c r="B400" i="1"/>
  <c r="B394" i="1"/>
  <c r="B398" i="1"/>
  <c r="A401" i="1"/>
  <c r="B392" i="1"/>
  <c r="B396" i="1"/>
  <c r="H357" i="1"/>
  <c r="H368" i="1" l="1"/>
  <c r="H364" i="1"/>
  <c r="H360" i="1"/>
  <c r="H362" i="1"/>
  <c r="H365" i="1"/>
  <c r="H361" i="1"/>
  <c r="H358" i="1"/>
  <c r="H366" i="1"/>
  <c r="H356" i="1"/>
  <c r="H363" i="1"/>
  <c r="H367" i="1"/>
  <c r="H359" i="1"/>
  <c r="D466" i="1" l="1"/>
  <c r="H10" i="6"/>
  <c r="G414" i="1"/>
  <c r="F437" i="1"/>
  <c r="G405" i="1"/>
  <c r="A423" i="1"/>
  <c r="B402" i="1"/>
  <c r="G396" i="1"/>
  <c r="G398" i="1"/>
  <c r="F368" i="1"/>
  <c r="E374" i="1" s="1"/>
  <c r="G369" i="1"/>
  <c r="C375" i="1"/>
  <c r="C377" i="1" s="1"/>
  <c r="A108" i="5"/>
  <c r="D430" i="1" l="1"/>
  <c r="H477" i="1"/>
  <c r="D595" i="1"/>
  <c r="E637" i="1" s="1"/>
  <c r="D747" i="1" s="1"/>
  <c r="C896" i="1" s="1"/>
  <c r="C1031" i="1" s="1"/>
  <c r="C1164" i="1" s="1"/>
  <c r="C1241" i="1" s="1"/>
  <c r="C1358" i="1" s="1"/>
  <c r="C1470" i="1" s="1"/>
  <c r="C1579" i="1" s="1"/>
  <c r="C1644" i="1" s="1"/>
  <c r="C1706" i="1" s="1"/>
  <c r="C1761" i="1" s="1"/>
  <c r="C1807" i="1" s="1"/>
  <c r="A424" i="1"/>
  <c r="A428" i="1"/>
  <c r="A425" i="1"/>
  <c r="F373" i="1"/>
  <c r="G372" i="1"/>
  <c r="C381" i="1"/>
  <c r="C385" i="1"/>
  <c r="C383" i="1"/>
  <c r="C386" i="1"/>
  <c r="C380" i="1"/>
  <c r="C389" i="1"/>
  <c r="C379" i="1"/>
  <c r="C384" i="1"/>
  <c r="C388" i="1"/>
  <c r="C382" i="1"/>
  <c r="C387" i="1"/>
  <c r="C378" i="1"/>
  <c r="N108" i="5"/>
  <c r="R108" i="5"/>
  <c r="H108" i="5"/>
  <c r="K108" i="5"/>
  <c r="E108" i="5"/>
  <c r="I108" i="5"/>
  <c r="J108" i="5"/>
  <c r="D108" i="5"/>
  <c r="M108" i="5"/>
  <c r="P108" i="5"/>
  <c r="F108" i="5"/>
  <c r="L108" i="5"/>
  <c r="O108" i="5"/>
  <c r="Q108" i="5"/>
  <c r="G108" i="5"/>
  <c r="B108" i="5"/>
  <c r="C108" i="5"/>
  <c r="A384" i="1" l="1"/>
  <c r="D389" i="1" s="1"/>
  <c r="A383" i="1"/>
  <c r="D388" i="1" s="1"/>
  <c r="A382" i="1"/>
  <c r="D387" i="1" s="1"/>
  <c r="A381" i="1"/>
  <c r="D386" i="1" s="1"/>
  <c r="A380" i="1"/>
  <c r="D385" i="1" s="1"/>
  <c r="A379" i="1"/>
  <c r="D384" i="1" s="1"/>
  <c r="A378" i="1"/>
  <c r="D383" i="1" s="1"/>
  <c r="A377" i="1"/>
  <c r="D382" i="1" s="1"/>
  <c r="A376" i="1"/>
  <c r="D381" i="1" s="1"/>
  <c r="A375" i="1"/>
  <c r="D380" i="1" s="1"/>
  <c r="A374" i="1"/>
  <c r="D379" i="1" s="1"/>
  <c r="A373" i="1"/>
  <c r="D378" i="1" s="1"/>
  <c r="A372" i="1"/>
  <c r="D377" i="1" s="1"/>
  <c r="F378" i="1"/>
  <c r="E376" i="1"/>
  <c r="E378" i="1" s="1"/>
  <c r="G373" i="1"/>
  <c r="F398" i="1" l="1"/>
  <c r="G399" i="1" s="1"/>
  <c r="F402" i="1"/>
  <c r="A454" i="1" s="1"/>
  <c r="F400" i="1"/>
  <c r="A452" i="1" s="1"/>
  <c r="F401" i="1"/>
  <c r="A453" i="1" s="1"/>
  <c r="F397" i="1"/>
  <c r="E379" i="1"/>
  <c r="E377" i="1"/>
  <c r="D392" i="1" s="1"/>
  <c r="F404" i="1" l="1"/>
  <c r="F399" i="1" s="1"/>
  <c r="D393" i="1"/>
  <c r="D394" i="1" s="1"/>
  <c r="E380" i="1" s="1"/>
  <c r="C113" i="5"/>
  <c r="F406" i="1"/>
  <c r="D400" i="1"/>
  <c r="E400" i="1" s="1"/>
  <c r="I414" i="1"/>
  <c r="D432" i="1" s="1"/>
  <c r="B404" i="1"/>
  <c r="G397" i="1"/>
  <c r="E404" i="1" l="1"/>
  <c r="D113" i="5"/>
  <c r="F407" i="1"/>
  <c r="H12" i="6" s="1"/>
  <c r="B113" i="5"/>
  <c r="F405" i="1"/>
  <c r="H414" i="1"/>
  <c r="G401" i="1"/>
  <c r="G407" i="1" s="1"/>
  <c r="D401" i="1"/>
  <c r="D399" i="1"/>
  <c r="E423" i="1"/>
  <c r="E427" i="1" s="1"/>
  <c r="A427" i="1"/>
  <c r="B425" i="1" s="1"/>
  <c r="C423" i="1"/>
  <c r="B403" i="1"/>
  <c r="B405" i="1"/>
  <c r="D395" i="1"/>
  <c r="D431" i="1" l="1"/>
  <c r="E381" i="1"/>
  <c r="D396" i="1" s="1"/>
  <c r="F430" i="1"/>
  <c r="B451" i="1"/>
  <c r="G114" i="5"/>
  <c r="M114" i="5"/>
  <c r="L114" i="5"/>
  <c r="P114" i="5"/>
  <c r="R114" i="5"/>
  <c r="O114" i="5"/>
  <c r="K114" i="5"/>
  <c r="F114" i="5"/>
  <c r="D114" i="5"/>
  <c r="I114" i="5"/>
  <c r="J114" i="5"/>
  <c r="Q114" i="5"/>
  <c r="B114" i="5"/>
  <c r="N114" i="5"/>
  <c r="H114" i="5"/>
  <c r="E114" i="5"/>
  <c r="C114" i="5"/>
  <c r="G406" i="1"/>
  <c r="G402" i="1"/>
  <c r="E399" i="1"/>
  <c r="E401" i="1"/>
  <c r="E402" i="1" s="1"/>
  <c r="E425" i="1"/>
  <c r="E424" i="1"/>
  <c r="E426" i="1"/>
  <c r="E429" i="1"/>
  <c r="E428" i="1"/>
  <c r="C424" i="1"/>
  <c r="A430" i="1"/>
  <c r="C426" i="1"/>
  <c r="C427" i="1"/>
  <c r="C425" i="1"/>
  <c r="B424" i="1"/>
  <c r="C407" i="1"/>
  <c r="C420" i="1"/>
  <c r="C419" i="1"/>
  <c r="C417" i="1"/>
  <c r="C418" i="1"/>
  <c r="C414" i="1"/>
  <c r="C416" i="1"/>
  <c r="C415" i="1"/>
  <c r="C412" i="1"/>
  <c r="C413" i="1"/>
  <c r="C410" i="1"/>
  <c r="C411" i="1"/>
  <c r="C408" i="1"/>
  <c r="C409" i="1"/>
  <c r="E382" i="1" l="1"/>
  <c r="D397" i="1" s="1"/>
  <c r="E383" i="1" s="1"/>
  <c r="D402" i="1"/>
  <c r="H405" i="1"/>
  <c r="I405" i="1" l="1"/>
  <c r="C406" i="1" s="1"/>
  <c r="E389" i="1"/>
  <c r="E403" i="1"/>
  <c r="E388" i="1"/>
  <c r="E387" i="1"/>
  <c r="E386" i="1"/>
  <c r="E384" i="1"/>
  <c r="E385" i="1"/>
  <c r="C405" i="1"/>
  <c r="F376" i="1" l="1"/>
  <c r="F381" i="1" s="1"/>
  <c r="F377" i="1"/>
  <c r="F382" i="1" s="1"/>
  <c r="F375" i="1"/>
  <c r="F380" i="1" s="1"/>
  <c r="F374" i="1"/>
  <c r="A433" i="1"/>
  <c r="D420" i="1"/>
  <c r="D421" i="1"/>
  <c r="D418" i="1"/>
  <c r="D419" i="1"/>
  <c r="D415" i="1"/>
  <c r="D417" i="1"/>
  <c r="D416" i="1"/>
  <c r="D413" i="1"/>
  <c r="D414" i="1"/>
  <c r="D410" i="1"/>
  <c r="D412" i="1"/>
  <c r="D408" i="1"/>
  <c r="D411" i="1"/>
  <c r="D407" i="1"/>
  <c r="D409" i="1"/>
  <c r="F379" i="1" l="1"/>
  <c r="F383" i="1" s="1"/>
  <c r="F487" i="1" s="1"/>
  <c r="G375" i="1"/>
  <c r="H2" i="6"/>
  <c r="B433" i="1"/>
  <c r="A429" i="1"/>
  <c r="D424" i="1" s="1"/>
  <c r="H406" i="1"/>
  <c r="H7" i="6" l="1"/>
  <c r="G379" i="1"/>
  <c r="G378" i="1"/>
  <c r="D426" i="1"/>
  <c r="D425" i="1"/>
  <c r="D427" i="1"/>
  <c r="D405" i="1"/>
  <c r="I406" i="1" l="1"/>
  <c r="D406" i="1" s="1"/>
  <c r="E418" i="1" s="1"/>
  <c r="E413" i="1" l="1"/>
  <c r="E415" i="1"/>
  <c r="E417" i="1"/>
  <c r="E416" i="1"/>
  <c r="E412" i="1"/>
  <c r="E414" i="1"/>
  <c r="E407" i="1"/>
  <c r="E408" i="1"/>
  <c r="E419" i="1"/>
  <c r="E420" i="1"/>
  <c r="E421" i="1"/>
  <c r="E410" i="1"/>
  <c r="E411" i="1"/>
  <c r="E409" i="1"/>
  <c r="A434" i="1"/>
  <c r="B434" i="1" l="1"/>
  <c r="A431" i="1"/>
  <c r="F425" i="1" s="1"/>
  <c r="F424" i="1" l="1"/>
  <c r="F429" i="1"/>
  <c r="F427" i="1"/>
  <c r="F428" i="1"/>
  <c r="F426" i="1"/>
  <c r="E1059" i="1" l="1"/>
  <c r="F1058" i="1" s="1"/>
  <c r="C1057" i="1" s="1"/>
  <c r="C1055" i="1" l="1"/>
  <c r="G1055" i="1"/>
  <c r="F1063" i="1"/>
  <c r="D1169" i="1" l="1"/>
  <c r="Q375" i="5" l="1"/>
  <c r="G375" i="5"/>
  <c r="I375" i="5"/>
  <c r="P375" i="5"/>
  <c r="C375" i="5"/>
  <c r="K375" i="5"/>
  <c r="E375" i="5"/>
  <c r="D375" i="5"/>
  <c r="L375" i="5"/>
  <c r="M375" i="5" l="1"/>
  <c r="R375" i="5"/>
  <c r="O375" i="5"/>
  <c r="H375" i="5"/>
  <c r="B375" i="5"/>
  <c r="J375" i="5" l="1"/>
  <c r="N375" i="5"/>
  <c r="F375" i="5" l="1"/>
  <c r="C1382" i="1" l="1"/>
  <c r="H407" i="1" l="1"/>
  <c r="E405" i="1" l="1"/>
  <c r="I407" i="1"/>
  <c r="F411" i="1" s="1"/>
  <c r="F412" i="1" s="1"/>
  <c r="G409" i="1" s="1"/>
  <c r="G410" i="1" s="1"/>
  <c r="A435" i="1" l="1"/>
  <c r="B435" i="1" s="1"/>
  <c r="G411" i="1" s="1"/>
  <c r="B436" i="1" l="1"/>
  <c r="C435" i="1" s="1"/>
  <c r="A422" i="1"/>
  <c r="E422" i="1" s="1"/>
  <c r="F418" i="1" l="1"/>
  <c r="F417" i="1"/>
  <c r="F416" i="1"/>
  <c r="F419" i="1"/>
  <c r="C434" i="1"/>
  <c r="I415" i="1" s="1"/>
  <c r="C433" i="1"/>
  <c r="G415" i="1" s="1"/>
  <c r="D435" i="1" l="1"/>
  <c r="H415" i="1"/>
  <c r="D434" i="1" s="1"/>
  <c r="D433" i="1"/>
  <c r="H418" i="1" l="1"/>
  <c r="H421" i="1"/>
  <c r="H422" i="1"/>
  <c r="F422" i="1"/>
  <c r="H419" i="1"/>
  <c r="F421" i="1"/>
  <c r="F420" i="1"/>
  <c r="F423" i="1"/>
  <c r="H423" i="1"/>
  <c r="A451" i="1" s="1"/>
  <c r="H420" i="1"/>
  <c r="H416" i="1" l="1"/>
  <c r="H15" i="6"/>
  <c r="G424" i="1"/>
  <c r="A115" i="5"/>
  <c r="B115" i="5" s="1"/>
  <c r="B452" i="1"/>
  <c r="B454" i="1"/>
  <c r="B453" i="1"/>
  <c r="G427" i="1"/>
  <c r="D467" i="1"/>
  <c r="D596" i="1" s="1"/>
  <c r="E638" i="1" s="1"/>
  <c r="D748" i="1" s="1"/>
  <c r="C897" i="1" s="1"/>
  <c r="C1033" i="1" s="1"/>
  <c r="C1166" i="1" s="1"/>
  <c r="C1243" i="1" s="1"/>
  <c r="C1360" i="1" s="1"/>
  <c r="C1472" i="1" s="1"/>
  <c r="C1582" i="1" s="1"/>
  <c r="C1647" i="1" s="1"/>
  <c r="C1709" i="1" s="1"/>
  <c r="C1764" i="1" s="1"/>
  <c r="C1810" i="1" s="1"/>
  <c r="I115" i="5" l="1"/>
  <c r="D115" i="5"/>
  <c r="J115" i="5"/>
  <c r="H115" i="5"/>
  <c r="N115" i="5"/>
  <c r="G115" i="5"/>
  <c r="M115" i="5"/>
  <c r="P115" i="5"/>
  <c r="F115" i="5"/>
  <c r="C115" i="5"/>
  <c r="O115" i="5"/>
  <c r="K115" i="5"/>
  <c r="L115" i="5"/>
  <c r="E115" i="5"/>
  <c r="Q115" i="5"/>
  <c r="R115" i="5"/>
  <c r="A116" i="5" l="1"/>
  <c r="A117" i="5" s="1"/>
  <c r="G428" i="1" s="1"/>
  <c r="G429" i="1" l="1"/>
  <c r="G430" i="1" s="1"/>
  <c r="G434" i="1"/>
  <c r="I437" i="1" s="1"/>
  <c r="F445" i="1" s="1"/>
  <c r="G433" i="1" l="1"/>
  <c r="G432" i="1"/>
  <c r="D29" i="6" s="1"/>
  <c r="F444" i="1"/>
  <c r="F442" i="1"/>
  <c r="A122" i="5"/>
  <c r="F446" i="1"/>
  <c r="F447" i="1"/>
  <c r="F439" i="1"/>
  <c r="F448" i="1"/>
  <c r="F441" i="1"/>
  <c r="E453" i="1"/>
  <c r="E458" i="1" s="1"/>
  <c r="F443" i="1"/>
  <c r="F440" i="1"/>
  <c r="D31" i="6"/>
  <c r="G437" i="1" l="1"/>
  <c r="A120" i="5" s="1"/>
  <c r="H17" i="6"/>
  <c r="H437" i="1"/>
  <c r="D30" i="6"/>
  <c r="D448" i="1" l="1"/>
  <c r="E451" i="1"/>
  <c r="E456" i="1" s="1"/>
  <c r="D450" i="1"/>
  <c r="D444" i="1"/>
  <c r="D445" i="1"/>
  <c r="D447" i="1"/>
  <c r="D449" i="1"/>
  <c r="D439" i="1"/>
  <c r="D446" i="1"/>
  <c r="D443" i="1"/>
  <c r="D441" i="1"/>
  <c r="D451" i="1"/>
  <c r="D440" i="1"/>
  <c r="D452" i="1"/>
  <c r="D442" i="1"/>
  <c r="A121" i="5"/>
  <c r="E452" i="1"/>
  <c r="E457" i="1" s="1"/>
  <c r="H120" i="5"/>
  <c r="P120" i="5"/>
  <c r="R120" i="5"/>
  <c r="I120" i="5"/>
  <c r="Q120" i="5"/>
  <c r="N120" i="5"/>
  <c r="C120" i="5"/>
  <c r="B120" i="5"/>
  <c r="G120" i="5"/>
  <c r="J120" i="5"/>
  <c r="O120" i="5"/>
  <c r="E120" i="5"/>
  <c r="K120" i="5"/>
  <c r="M120" i="5"/>
  <c r="F120" i="5"/>
  <c r="L120" i="5"/>
  <c r="D120" i="5"/>
  <c r="R121" i="5" l="1"/>
  <c r="R122" i="5" s="1"/>
  <c r="R123" i="5" s="1"/>
  <c r="O121" i="5"/>
  <c r="O122" i="5" s="1"/>
  <c r="C121" i="5"/>
  <c r="C122" i="5" s="1"/>
  <c r="C123" i="5" s="1"/>
  <c r="F121" i="5"/>
  <c r="F122" i="5" s="1"/>
  <c r="Q121" i="5"/>
  <c r="Q122" i="5" s="1"/>
  <c r="Q123" i="5" s="1"/>
  <c r="D121" i="5"/>
  <c r="D122" i="5" s="1"/>
  <c r="D123" i="5" s="1"/>
  <c r="K121" i="5"/>
  <c r="K122" i="5" s="1"/>
  <c r="K123" i="5" s="1"/>
  <c r="M121" i="5"/>
  <c r="M122" i="5" s="1"/>
  <c r="H121" i="5"/>
  <c r="H122" i="5" s="1"/>
  <c r="I121" i="5"/>
  <c r="I122" i="5" s="1"/>
  <c r="I123" i="5" s="1"/>
  <c r="E441" i="1"/>
  <c r="G441" i="1" s="1"/>
  <c r="E443" i="1"/>
  <c r="G443" i="1" s="1"/>
  <c r="E448" i="1"/>
  <c r="G448" i="1" s="1"/>
  <c r="E439" i="1"/>
  <c r="G439" i="1" s="1"/>
  <c r="E444" i="1"/>
  <c r="G444" i="1" s="1"/>
  <c r="E446" i="1"/>
  <c r="G446" i="1" s="1"/>
  <c r="E449" i="1"/>
  <c r="G449" i="1" s="1"/>
  <c r="E442" i="1"/>
  <c r="G442" i="1" s="1"/>
  <c r="E447" i="1"/>
  <c r="G447" i="1" s="1"/>
  <c r="E445" i="1"/>
  <c r="G445" i="1" s="1"/>
  <c r="E440" i="1"/>
  <c r="G440" i="1" s="1"/>
  <c r="O123" i="5"/>
  <c r="P121" i="5"/>
  <c r="J121" i="5"/>
  <c r="N121" i="5"/>
  <c r="N122" i="5" s="1"/>
  <c r="G121" i="5"/>
  <c r="L121" i="5"/>
  <c r="E121" i="5"/>
  <c r="B121" i="5"/>
  <c r="B122" i="5" s="1"/>
  <c r="F123" i="5" l="1"/>
  <c r="H123" i="5"/>
  <c r="M123" i="5"/>
  <c r="F449" i="1"/>
  <c r="G122" i="5"/>
  <c r="G123" i="5" s="1"/>
  <c r="L122" i="5"/>
  <c r="L123" i="5" s="1"/>
  <c r="E122" i="5"/>
  <c r="E123" i="5" s="1"/>
  <c r="P122" i="5"/>
  <c r="P123" i="5" s="1"/>
  <c r="B123" i="5"/>
  <c r="J122" i="5"/>
  <c r="J123" i="5" s="1"/>
  <c r="N123" i="5"/>
  <c r="H446" i="1" l="1"/>
  <c r="H439" i="1"/>
  <c r="H440" i="1"/>
  <c r="H449" i="1"/>
  <c r="H443" i="1"/>
  <c r="H448" i="1"/>
  <c r="H442" i="1"/>
  <c r="H444" i="1"/>
  <c r="H441" i="1"/>
  <c r="H445" i="1"/>
  <c r="H447" i="1"/>
  <c r="F453" i="1" l="1"/>
  <c r="F452" i="1"/>
  <c r="F451" i="1"/>
  <c r="F454" i="1" l="1"/>
  <c r="F455" i="1"/>
  <c r="G451" i="1" l="1"/>
  <c r="D28" i="6" s="1"/>
  <c r="G452" i="1" l="1"/>
  <c r="G453" i="1" s="1"/>
  <c r="H453" i="1" s="1"/>
  <c r="F457" i="1" s="1"/>
  <c r="F458" i="1" l="1"/>
  <c r="F456" i="1"/>
  <c r="F459" i="1" l="1"/>
  <c r="G463" i="1"/>
  <c r="F461" i="1"/>
  <c r="G455" i="1"/>
  <c r="G456" i="1" s="1"/>
  <c r="G457" i="1" s="1"/>
  <c r="G459" i="1"/>
  <c r="F460" i="1"/>
  <c r="G460" i="1"/>
  <c r="B466" i="1" l="1"/>
  <c r="B467" i="1" s="1"/>
  <c r="B468" i="1" s="1"/>
  <c r="H40" i="6"/>
  <c r="I472" i="1"/>
  <c r="I474" i="1" s="1"/>
  <c r="H39" i="6"/>
  <c r="A125" i="5"/>
  <c r="Q125" i="5" s="1"/>
  <c r="Q157" i="5" s="1"/>
  <c r="F489" i="1"/>
  <c r="H466" i="1" l="1"/>
  <c r="H468" i="1" s="1"/>
  <c r="G466" i="1"/>
  <c r="C479" i="1" s="1"/>
  <c r="A526" i="1" s="1"/>
  <c r="I601" i="1"/>
  <c r="D630" i="1" s="1"/>
  <c r="G125" i="5"/>
  <c r="G126" i="5" s="1"/>
  <c r="G127" i="5" s="1"/>
  <c r="G128" i="5" s="1"/>
  <c r="G129" i="5" s="1"/>
  <c r="G130" i="5" s="1"/>
  <c r="G131" i="5" s="1"/>
  <c r="G132" i="5" s="1"/>
  <c r="G133" i="5" s="1"/>
  <c r="G134" i="5" s="1"/>
  <c r="G135" i="5" s="1"/>
  <c r="G136" i="5" s="1"/>
  <c r="G137" i="5" s="1"/>
  <c r="F125" i="5"/>
  <c r="F126" i="5" s="1"/>
  <c r="F127" i="5" s="1"/>
  <c r="F128" i="5" s="1"/>
  <c r="F129" i="5" s="1"/>
  <c r="F130" i="5" s="1"/>
  <c r="F131" i="5" s="1"/>
  <c r="F132" i="5" s="1"/>
  <c r="F133" i="5" s="1"/>
  <c r="F134" i="5" s="1"/>
  <c r="F135" i="5" s="1"/>
  <c r="F136" i="5" s="1"/>
  <c r="F137" i="5" s="1"/>
  <c r="E125" i="5"/>
  <c r="E140" i="5" s="1"/>
  <c r="E143" i="5" s="1"/>
  <c r="E144" i="5" s="1"/>
  <c r="P125" i="5"/>
  <c r="P157" i="5" s="1"/>
  <c r="C125" i="5"/>
  <c r="C157" i="5" s="1"/>
  <c r="Q126" i="5"/>
  <c r="Q127" i="5" s="1"/>
  <c r="Q128" i="5" s="1"/>
  <c r="Q129" i="5" s="1"/>
  <c r="Q130" i="5" s="1"/>
  <c r="Q131" i="5" s="1"/>
  <c r="Q132" i="5" s="1"/>
  <c r="Q133" i="5" s="1"/>
  <c r="Q134" i="5" s="1"/>
  <c r="Q135" i="5" s="1"/>
  <c r="Q136" i="5" s="1"/>
  <c r="Q137" i="5" s="1"/>
  <c r="K125" i="5"/>
  <c r="K157" i="5" s="1"/>
  <c r="R125" i="5"/>
  <c r="R157" i="5" s="1"/>
  <c r="I473" i="1"/>
  <c r="Q140" i="5"/>
  <c r="Q143" i="5" s="1"/>
  <c r="Q144" i="5" s="1"/>
  <c r="N125" i="5"/>
  <c r="N140" i="5" s="1"/>
  <c r="N143" i="5" s="1"/>
  <c r="N144" i="5" s="1"/>
  <c r="M125" i="5"/>
  <c r="M140" i="5" s="1"/>
  <c r="M143" i="5" s="1"/>
  <c r="M144" i="5" s="1"/>
  <c r="I125" i="5"/>
  <c r="I126" i="5" s="1"/>
  <c r="I127" i="5" s="1"/>
  <c r="I128" i="5" s="1"/>
  <c r="I129" i="5" s="1"/>
  <c r="I130" i="5" s="1"/>
  <c r="I131" i="5" s="1"/>
  <c r="I132" i="5" s="1"/>
  <c r="I133" i="5" s="1"/>
  <c r="I134" i="5" s="1"/>
  <c r="I135" i="5" s="1"/>
  <c r="I136" i="5" s="1"/>
  <c r="I137" i="5" s="1"/>
  <c r="H125" i="5"/>
  <c r="H157" i="5" s="1"/>
  <c r="J125" i="5"/>
  <c r="J126" i="5" s="1"/>
  <c r="J127" i="5" s="1"/>
  <c r="J128" i="5" s="1"/>
  <c r="J129" i="5" s="1"/>
  <c r="J130" i="5" s="1"/>
  <c r="J131" i="5" s="1"/>
  <c r="J132" i="5" s="1"/>
  <c r="J133" i="5" s="1"/>
  <c r="J134" i="5" s="1"/>
  <c r="J135" i="5" s="1"/>
  <c r="J136" i="5" s="1"/>
  <c r="J137" i="5" s="1"/>
  <c r="O125" i="5"/>
  <c r="O126" i="5" s="1"/>
  <c r="O127" i="5" s="1"/>
  <c r="O128" i="5" s="1"/>
  <c r="O129" i="5" s="1"/>
  <c r="O130" i="5" s="1"/>
  <c r="O131" i="5" s="1"/>
  <c r="O132" i="5" s="1"/>
  <c r="O133" i="5" s="1"/>
  <c r="O134" i="5" s="1"/>
  <c r="O135" i="5" s="1"/>
  <c r="O136" i="5" s="1"/>
  <c r="O137" i="5" s="1"/>
  <c r="D125" i="5"/>
  <c r="D140" i="5" s="1"/>
  <c r="D143" i="5" s="1"/>
  <c r="D144" i="5" s="1"/>
  <c r="B125" i="5"/>
  <c r="B140" i="5" s="1"/>
  <c r="B143" i="5" s="1"/>
  <c r="B144" i="5" s="1"/>
  <c r="L125" i="5"/>
  <c r="L140" i="5" s="1"/>
  <c r="L143" i="5" s="1"/>
  <c r="L144" i="5" s="1"/>
  <c r="I466" i="1"/>
  <c r="B469" i="1"/>
  <c r="H467" i="1" l="1"/>
  <c r="C480" i="1"/>
  <c r="A527" i="1" s="1"/>
  <c r="C564" i="1" s="1"/>
  <c r="G468" i="1"/>
  <c r="G467" i="1"/>
  <c r="P126" i="5"/>
  <c r="P127" i="5" s="1"/>
  <c r="P128" i="5" s="1"/>
  <c r="P129" i="5" s="1"/>
  <c r="P130" i="5" s="1"/>
  <c r="P131" i="5" s="1"/>
  <c r="P132" i="5" s="1"/>
  <c r="P133" i="5" s="1"/>
  <c r="P134" i="5" s="1"/>
  <c r="P135" i="5" s="1"/>
  <c r="P136" i="5" s="1"/>
  <c r="P137" i="5" s="1"/>
  <c r="G157" i="5"/>
  <c r="A611" i="1"/>
  <c r="K140" i="5"/>
  <c r="K143" i="5" s="1"/>
  <c r="K144" i="5" s="1"/>
  <c r="P140" i="5"/>
  <c r="P143" i="5" s="1"/>
  <c r="P144" i="5" s="1"/>
  <c r="H140" i="5"/>
  <c r="H143" i="5" s="1"/>
  <c r="H144" i="5" s="1"/>
  <c r="C140" i="5"/>
  <c r="C143" i="5" s="1"/>
  <c r="C144" i="5" s="1"/>
  <c r="J140" i="5"/>
  <c r="J143" i="5" s="1"/>
  <c r="J144" i="5" s="1"/>
  <c r="G140" i="5"/>
  <c r="G143" i="5" s="1"/>
  <c r="G144" i="5" s="1"/>
  <c r="F157" i="5"/>
  <c r="N126" i="5"/>
  <c r="N127" i="5" s="1"/>
  <c r="N128" i="5" s="1"/>
  <c r="N129" i="5" s="1"/>
  <c r="N130" i="5" s="1"/>
  <c r="N131" i="5" s="1"/>
  <c r="N132" i="5" s="1"/>
  <c r="N133" i="5" s="1"/>
  <c r="N134" i="5" s="1"/>
  <c r="N135" i="5" s="1"/>
  <c r="N136" i="5" s="1"/>
  <c r="N137" i="5" s="1"/>
  <c r="F140" i="5"/>
  <c r="F143" i="5" s="1"/>
  <c r="F144" i="5" s="1"/>
  <c r="N157" i="5"/>
  <c r="E157" i="5"/>
  <c r="E126" i="5"/>
  <c r="E127" i="5" s="1"/>
  <c r="E128" i="5" s="1"/>
  <c r="E129" i="5" s="1"/>
  <c r="E130" i="5" s="1"/>
  <c r="E131" i="5" s="1"/>
  <c r="E132" i="5" s="1"/>
  <c r="E133" i="5" s="1"/>
  <c r="E134" i="5" s="1"/>
  <c r="E135" i="5" s="1"/>
  <c r="E136" i="5" s="1"/>
  <c r="E137" i="5" s="1"/>
  <c r="J157" i="5"/>
  <c r="I140" i="5"/>
  <c r="I143" i="5" s="1"/>
  <c r="I144" i="5" s="1"/>
  <c r="K126" i="5"/>
  <c r="K127" i="5" s="1"/>
  <c r="K128" i="5" s="1"/>
  <c r="K129" i="5" s="1"/>
  <c r="K130" i="5" s="1"/>
  <c r="K131" i="5" s="1"/>
  <c r="K132" i="5" s="1"/>
  <c r="K133" i="5" s="1"/>
  <c r="K134" i="5" s="1"/>
  <c r="K135" i="5" s="1"/>
  <c r="K136" i="5" s="1"/>
  <c r="K137" i="5" s="1"/>
  <c r="R140" i="5"/>
  <c r="R143" i="5" s="1"/>
  <c r="R144" i="5" s="1"/>
  <c r="M157" i="5"/>
  <c r="R126" i="5"/>
  <c r="R127" i="5" s="1"/>
  <c r="R128" i="5" s="1"/>
  <c r="R129" i="5" s="1"/>
  <c r="R130" i="5" s="1"/>
  <c r="R131" i="5" s="1"/>
  <c r="R132" i="5" s="1"/>
  <c r="R133" i="5" s="1"/>
  <c r="R134" i="5" s="1"/>
  <c r="R135" i="5" s="1"/>
  <c r="R136" i="5" s="1"/>
  <c r="R137" i="5" s="1"/>
  <c r="C126" i="5"/>
  <c r="C127" i="5" s="1"/>
  <c r="C128" i="5" s="1"/>
  <c r="C129" i="5" s="1"/>
  <c r="C130" i="5" s="1"/>
  <c r="C131" i="5" s="1"/>
  <c r="C132" i="5" s="1"/>
  <c r="C133" i="5" s="1"/>
  <c r="C134" i="5" s="1"/>
  <c r="C135" i="5" s="1"/>
  <c r="C136" i="5" s="1"/>
  <c r="C137" i="5" s="1"/>
  <c r="I157" i="5"/>
  <c r="B126" i="5"/>
  <c r="B127" i="5" s="1"/>
  <c r="B128" i="5" s="1"/>
  <c r="B129" i="5" s="1"/>
  <c r="B130" i="5" s="1"/>
  <c r="B131" i="5" s="1"/>
  <c r="B132" i="5" s="1"/>
  <c r="B133" i="5" s="1"/>
  <c r="B134" i="5" s="1"/>
  <c r="B135" i="5" s="1"/>
  <c r="B136" i="5" s="1"/>
  <c r="B137" i="5" s="1"/>
  <c r="M126" i="5"/>
  <c r="M127" i="5" s="1"/>
  <c r="M128" i="5" s="1"/>
  <c r="M129" i="5" s="1"/>
  <c r="M130" i="5" s="1"/>
  <c r="M131" i="5" s="1"/>
  <c r="M132" i="5" s="1"/>
  <c r="M133" i="5" s="1"/>
  <c r="M134" i="5" s="1"/>
  <c r="M135" i="5" s="1"/>
  <c r="M136" i="5" s="1"/>
  <c r="M137" i="5" s="1"/>
  <c r="O157" i="5"/>
  <c r="O140" i="5"/>
  <c r="O143" i="5" s="1"/>
  <c r="O144" i="5" s="1"/>
  <c r="B157" i="5"/>
  <c r="L126" i="5"/>
  <c r="L127" i="5" s="1"/>
  <c r="L128" i="5" s="1"/>
  <c r="L129" i="5" s="1"/>
  <c r="L130" i="5" s="1"/>
  <c r="L131" i="5" s="1"/>
  <c r="L132" i="5" s="1"/>
  <c r="L133" i="5" s="1"/>
  <c r="L134" i="5" s="1"/>
  <c r="L135" i="5" s="1"/>
  <c r="L136" i="5" s="1"/>
  <c r="L137" i="5" s="1"/>
  <c r="L157" i="5"/>
  <c r="D126" i="5"/>
  <c r="D127" i="5" s="1"/>
  <c r="D128" i="5" s="1"/>
  <c r="D129" i="5" s="1"/>
  <c r="D130" i="5" s="1"/>
  <c r="D131" i="5" s="1"/>
  <c r="D132" i="5" s="1"/>
  <c r="D133" i="5" s="1"/>
  <c r="D134" i="5" s="1"/>
  <c r="D135" i="5" s="1"/>
  <c r="D136" i="5" s="1"/>
  <c r="D137" i="5" s="1"/>
  <c r="D157" i="5"/>
  <c r="H126" i="5"/>
  <c r="H127" i="5" s="1"/>
  <c r="H128" i="5" s="1"/>
  <c r="H129" i="5" s="1"/>
  <c r="H130" i="5" s="1"/>
  <c r="H131" i="5" s="1"/>
  <c r="H132" i="5" s="1"/>
  <c r="H133" i="5" s="1"/>
  <c r="H134" i="5" s="1"/>
  <c r="H135" i="5" s="1"/>
  <c r="H136" i="5" s="1"/>
  <c r="H137" i="5" s="1"/>
  <c r="D479" i="1"/>
  <c r="J466" i="1"/>
  <c r="B470" i="1"/>
  <c r="I467" i="1"/>
  <c r="I468" i="1"/>
  <c r="C481" i="1"/>
  <c r="A528" i="1" s="1"/>
  <c r="B527" i="1"/>
  <c r="B526" i="1"/>
  <c r="C563" i="1"/>
  <c r="A517" i="1" l="1"/>
  <c r="B521" i="1"/>
  <c r="B511" i="1"/>
  <c r="B516" i="1"/>
  <c r="B514" i="1"/>
  <c r="B509" i="1"/>
  <c r="B513" i="1"/>
  <c r="B518" i="1"/>
  <c r="A510" i="1"/>
  <c r="A513" i="1"/>
  <c r="B515" i="1"/>
  <c r="A511" i="1"/>
  <c r="A512" i="1"/>
  <c r="A521" i="1"/>
  <c r="A514" i="1"/>
  <c r="A518" i="1"/>
  <c r="B520" i="1"/>
  <c r="B519" i="1"/>
  <c r="B517" i="1"/>
  <c r="A509" i="1"/>
  <c r="B512" i="1"/>
  <c r="A519" i="1"/>
  <c r="A520" i="1"/>
  <c r="A515" i="1"/>
  <c r="A516" i="1"/>
  <c r="B510" i="1"/>
  <c r="B528" i="1"/>
  <c r="C565" i="1"/>
  <c r="C482" i="1"/>
  <c r="A529" i="1" s="1"/>
  <c r="J468" i="1"/>
  <c r="J467" i="1"/>
  <c r="D480" i="1"/>
  <c r="B471" i="1"/>
  <c r="K466" i="1"/>
  <c r="D481" i="1" l="1"/>
  <c r="C566" i="1"/>
  <c r="B529" i="1"/>
  <c r="K467" i="1"/>
  <c r="C483" i="1"/>
  <c r="A530" i="1" s="1"/>
  <c r="K468" i="1"/>
  <c r="B472" i="1"/>
  <c r="G469" i="1"/>
  <c r="D482" i="1" l="1"/>
  <c r="B473" i="1"/>
  <c r="H469" i="1"/>
  <c r="C567" i="1"/>
  <c r="B530" i="1"/>
  <c r="C484" i="1"/>
  <c r="A531" i="1" s="1"/>
  <c r="G470" i="1"/>
  <c r="G471" i="1"/>
  <c r="B531" i="1" l="1"/>
  <c r="C568" i="1"/>
  <c r="C485" i="1"/>
  <c r="A532" i="1" s="1"/>
  <c r="H470" i="1"/>
  <c r="H471" i="1"/>
  <c r="I469" i="1"/>
  <c r="B474" i="1"/>
  <c r="D483" i="1"/>
  <c r="B532" i="1" l="1"/>
  <c r="C569" i="1"/>
  <c r="I470" i="1"/>
  <c r="C486" i="1"/>
  <c r="A533" i="1" s="1"/>
  <c r="I471" i="1"/>
  <c r="D484" i="1"/>
  <c r="J469" i="1"/>
  <c r="B475" i="1"/>
  <c r="J470" i="1" l="1"/>
  <c r="C487" i="1"/>
  <c r="A534" i="1" s="1"/>
  <c r="J471" i="1"/>
  <c r="D485" i="1"/>
  <c r="C570" i="1"/>
  <c r="B533" i="1"/>
  <c r="K469" i="1"/>
  <c r="B476" i="1"/>
  <c r="L469" i="1" l="1"/>
  <c r="B477" i="1"/>
  <c r="D486" i="1"/>
  <c r="C571" i="1"/>
  <c r="B534" i="1"/>
  <c r="K470" i="1"/>
  <c r="C488" i="1"/>
  <c r="A535" i="1" s="1"/>
  <c r="K471" i="1"/>
  <c r="G472" i="1" l="1"/>
  <c r="B478" i="1"/>
  <c r="H472" i="1" s="1"/>
  <c r="C489" i="1"/>
  <c r="A536" i="1" s="1"/>
  <c r="L471" i="1"/>
  <c r="L470" i="1"/>
  <c r="B535" i="1"/>
  <c r="C572" i="1"/>
  <c r="D487" i="1"/>
  <c r="B536" i="1" l="1"/>
  <c r="C573" i="1"/>
  <c r="D488" i="1"/>
  <c r="C490" i="1"/>
  <c r="A537" i="1" s="1"/>
  <c r="G473" i="1"/>
  <c r="G474" i="1"/>
  <c r="H473" i="1"/>
  <c r="H474" i="1"/>
  <c r="C491" i="1"/>
  <c r="A538" i="1" s="1"/>
  <c r="B538" i="1" l="1"/>
  <c r="C575" i="1"/>
  <c r="D489" i="1"/>
  <c r="C574" i="1"/>
  <c r="B537" i="1"/>
  <c r="G509" i="1" l="1"/>
  <c r="I11" i="6" s="1"/>
  <c r="D490" i="1"/>
  <c r="H482" i="1" s="1"/>
  <c r="H483" i="1" l="1"/>
  <c r="H489" i="1"/>
  <c r="H490" i="1"/>
  <c r="H480" i="1"/>
  <c r="H487" i="1"/>
  <c r="H488" i="1"/>
  <c r="H484" i="1"/>
  <c r="A277" i="5"/>
  <c r="A314" i="5" s="1"/>
  <c r="A154" i="5"/>
  <c r="A240" i="5"/>
  <c r="H479" i="1"/>
  <c r="H481" i="1"/>
  <c r="H486" i="1"/>
  <c r="H485" i="1"/>
  <c r="E595" i="1" l="1"/>
  <c r="B506" i="1"/>
  <c r="B504" i="1"/>
  <c r="B502" i="1"/>
  <c r="B498" i="1"/>
  <c r="B501" i="1"/>
  <c r="B499" i="1"/>
  <c r="G527" i="1"/>
  <c r="I10" i="6"/>
  <c r="B495" i="1"/>
  <c r="F490" i="1"/>
  <c r="B505" i="1"/>
  <c r="B503" i="1"/>
  <c r="G536" i="1"/>
  <c r="D554" i="1" s="1"/>
  <c r="G491" i="1"/>
  <c r="A141" i="5"/>
  <c r="N141" i="5" s="1"/>
  <c r="A547" i="1"/>
  <c r="B497" i="1"/>
  <c r="B496" i="1"/>
  <c r="G520" i="1"/>
  <c r="F561" i="1"/>
  <c r="G518" i="1"/>
  <c r="B500" i="1"/>
  <c r="Q141" i="5" l="1"/>
  <c r="G141" i="5"/>
  <c r="J141" i="5"/>
  <c r="E141" i="5"/>
  <c r="L141" i="5"/>
  <c r="H141" i="5"/>
  <c r="O141" i="5"/>
  <c r="B141" i="5"/>
  <c r="P141" i="5"/>
  <c r="I141" i="5"/>
  <c r="F141" i="5"/>
  <c r="R141" i="5"/>
  <c r="M141" i="5"/>
  <c r="D141" i="5"/>
  <c r="K141" i="5"/>
  <c r="C141" i="5"/>
  <c r="C492" i="1"/>
  <c r="E496" i="1"/>
  <c r="A549" i="1"/>
  <c r="A552" i="1"/>
  <c r="A548" i="1"/>
  <c r="F637" i="1"/>
  <c r="I602" i="1"/>
  <c r="E747" i="1" l="1"/>
  <c r="D896" i="1" s="1"/>
  <c r="D1031" i="1" s="1"/>
  <c r="D1164" i="1" s="1"/>
  <c r="D1241" i="1" s="1"/>
  <c r="D1358" i="1" s="1"/>
  <c r="D1470" i="1" s="1"/>
  <c r="D1579" i="1" s="1"/>
  <c r="D1644" i="1" s="1"/>
  <c r="D1706" i="1" s="1"/>
  <c r="D1761" i="1" s="1"/>
  <c r="D1807" i="1" s="1"/>
  <c r="H648" i="1"/>
  <c r="C494" i="1"/>
  <c r="G494" i="1"/>
  <c r="F495" i="1"/>
  <c r="A506" i="1"/>
  <c r="C506" i="1" s="1"/>
  <c r="A502" i="1"/>
  <c r="C502" i="1" s="1"/>
  <c r="A497" i="1"/>
  <c r="C497" i="1" s="1"/>
  <c r="A503" i="1"/>
  <c r="C503" i="1" s="1"/>
  <c r="A500" i="1"/>
  <c r="C500" i="1" s="1"/>
  <c r="A504" i="1"/>
  <c r="C504" i="1" s="1"/>
  <c r="A499" i="1"/>
  <c r="C499" i="1" s="1"/>
  <c r="A505" i="1"/>
  <c r="C505" i="1" s="1"/>
  <c r="A501" i="1"/>
  <c r="C501" i="1" s="1"/>
  <c r="A495" i="1"/>
  <c r="C495" i="1" s="1"/>
  <c r="A498" i="1"/>
  <c r="C498" i="1" s="1"/>
  <c r="A496" i="1"/>
  <c r="C496" i="1" s="1"/>
  <c r="F524" i="1" l="1"/>
  <c r="A563" i="1" s="1"/>
  <c r="F523" i="1"/>
  <c r="A562" i="1" s="1"/>
  <c r="F519" i="1"/>
  <c r="F522" i="1"/>
  <c r="A561" i="1" s="1"/>
  <c r="D496" i="1"/>
  <c r="D495" i="1"/>
  <c r="C509" i="1" s="1"/>
  <c r="D497" i="1"/>
  <c r="F520" i="1"/>
  <c r="G521" i="1" s="1"/>
  <c r="G495" i="1"/>
  <c r="F500" i="1"/>
  <c r="G519" i="1" l="1"/>
  <c r="H536" i="1" s="1"/>
  <c r="D555" i="1" s="1"/>
  <c r="C510" i="1"/>
  <c r="C146" i="5"/>
  <c r="D520" i="1"/>
  <c r="E520" i="1" s="1"/>
  <c r="I536" i="1"/>
  <c r="D556" i="1" s="1"/>
  <c r="F526" i="1"/>
  <c r="E525" i="1" s="1"/>
  <c r="B146" i="5" l="1"/>
  <c r="D519" i="1"/>
  <c r="E519" i="1" s="1"/>
  <c r="A551" i="1"/>
  <c r="E547" i="1"/>
  <c r="D146" i="5"/>
  <c r="F554" i="1"/>
  <c r="G523" i="1"/>
  <c r="C547" i="1"/>
  <c r="D521" i="1"/>
  <c r="E521" i="1" s="1"/>
  <c r="E522" i="1" s="1"/>
  <c r="F521" i="1"/>
  <c r="C511" i="1"/>
  <c r="D498" i="1" s="1"/>
  <c r="D522" i="1" l="1"/>
  <c r="E523" i="1" s="1"/>
  <c r="C512" i="1"/>
  <c r="D499" i="1" s="1"/>
  <c r="C513" i="1" s="1"/>
  <c r="D500" i="1" s="1"/>
  <c r="C514" i="1" s="1"/>
  <c r="C535" i="1"/>
  <c r="C529" i="1"/>
  <c r="C539" i="1"/>
  <c r="I12" i="6"/>
  <c r="C526" i="1"/>
  <c r="C531" i="1"/>
  <c r="C538" i="1"/>
  <c r="C534" i="1"/>
  <c r="C537" i="1"/>
  <c r="C532" i="1"/>
  <c r="C536" i="1"/>
  <c r="C528" i="1"/>
  <c r="C530" i="1"/>
  <c r="C533" i="1"/>
  <c r="C527" i="1"/>
  <c r="N147" i="5"/>
  <c r="I147" i="5"/>
  <c r="F147" i="5"/>
  <c r="E147" i="5"/>
  <c r="L147" i="5"/>
  <c r="R147" i="5"/>
  <c r="H147" i="5"/>
  <c r="K147" i="5"/>
  <c r="O147" i="5"/>
  <c r="J147" i="5"/>
  <c r="M147" i="5"/>
  <c r="P147" i="5"/>
  <c r="D147" i="5"/>
  <c r="Q147" i="5"/>
  <c r="B147" i="5"/>
  <c r="C147" i="5"/>
  <c r="G147" i="5"/>
  <c r="C550" i="1"/>
  <c r="A554" i="1"/>
  <c r="C548" i="1"/>
  <c r="C551" i="1"/>
  <c r="C549" i="1"/>
  <c r="E549" i="1"/>
  <c r="E550" i="1"/>
  <c r="E553" i="1"/>
  <c r="E551" i="1"/>
  <c r="E552" i="1"/>
  <c r="E548" i="1"/>
  <c r="G524" i="1"/>
  <c r="G529" i="1"/>
  <c r="G528" i="1"/>
  <c r="B549" i="1"/>
  <c r="B548" i="1"/>
  <c r="D503" i="1" l="1"/>
  <c r="D501" i="1"/>
  <c r="D505" i="1"/>
  <c r="D506" i="1"/>
  <c r="D504" i="1"/>
  <c r="D502" i="1"/>
  <c r="H527" i="1"/>
  <c r="F497" i="1" l="1"/>
  <c r="F502" i="1" s="1"/>
  <c r="F499" i="1"/>
  <c r="F504" i="1" s="1"/>
  <c r="F496" i="1"/>
  <c r="F501" i="1" s="1"/>
  <c r="F498" i="1"/>
  <c r="F503" i="1" s="1"/>
  <c r="C524" i="1"/>
  <c r="I527" i="1"/>
  <c r="C525" i="1" s="1"/>
  <c r="F505" i="1" l="1"/>
  <c r="G501" i="1" s="1"/>
  <c r="G497" i="1"/>
  <c r="I2" i="6"/>
  <c r="A557" i="1"/>
  <c r="D531" i="1"/>
  <c r="D537" i="1"/>
  <c r="D533" i="1"/>
  <c r="D532" i="1"/>
  <c r="D530" i="1"/>
  <c r="D526" i="1"/>
  <c r="D539" i="1"/>
  <c r="D527" i="1"/>
  <c r="D538" i="1"/>
  <c r="D536" i="1"/>
  <c r="D528" i="1"/>
  <c r="D529" i="1"/>
  <c r="D535" i="1"/>
  <c r="D534" i="1"/>
  <c r="G500" i="1" l="1"/>
  <c r="F660" i="1"/>
  <c r="I7" i="6"/>
  <c r="B557" i="1"/>
  <c r="A553" i="1"/>
  <c r="H528" i="1"/>
  <c r="D550" i="1" l="1"/>
  <c r="D548" i="1"/>
  <c r="D551" i="1"/>
  <c r="D549" i="1"/>
  <c r="D524" i="1"/>
  <c r="I528" i="1"/>
  <c r="D525" i="1" s="1"/>
  <c r="E533" i="1" l="1"/>
  <c r="A558" i="1"/>
  <c r="A555" i="1" s="1"/>
  <c r="E532" i="1"/>
  <c r="E529" i="1"/>
  <c r="E526" i="1"/>
  <c r="E539" i="1"/>
  <c r="E530" i="1"/>
  <c r="E536" i="1"/>
  <c r="E534" i="1"/>
  <c r="E535" i="1"/>
  <c r="E528" i="1"/>
  <c r="E537" i="1"/>
  <c r="E527" i="1"/>
  <c r="E538" i="1"/>
  <c r="E531" i="1"/>
  <c r="B558" i="1" l="1"/>
  <c r="H529" i="1"/>
  <c r="F552" i="1"/>
  <c r="F551" i="1"/>
  <c r="F553" i="1"/>
  <c r="F549" i="1"/>
  <c r="F548" i="1"/>
  <c r="F550" i="1"/>
  <c r="I529" i="1" l="1"/>
  <c r="F533" i="1" s="1"/>
  <c r="A559" i="1" l="1"/>
  <c r="F534" i="1"/>
  <c r="G531" i="1" s="1"/>
  <c r="G532" i="1" l="1"/>
  <c r="B559" i="1"/>
  <c r="G533" i="1" l="1"/>
  <c r="B560" i="1" s="1"/>
  <c r="A540" i="1" l="1"/>
  <c r="E540" i="1" s="1"/>
  <c r="F539" i="1" s="1"/>
  <c r="C558" i="1"/>
  <c r="C557" i="1"/>
  <c r="G537" i="1" s="1"/>
  <c r="D557" i="1" s="1"/>
  <c r="C559" i="1"/>
  <c r="F542" i="1" l="1"/>
  <c r="F540" i="1"/>
  <c r="F541" i="1"/>
  <c r="I537" i="1"/>
  <c r="D559" i="1" s="1"/>
  <c r="H537" i="1"/>
  <c r="D558" i="1" s="1"/>
  <c r="H544" i="1" l="1"/>
  <c r="H547" i="1"/>
  <c r="G551" i="1" s="1"/>
  <c r="H543" i="1"/>
  <c r="H545" i="1"/>
  <c r="F535" i="1"/>
  <c r="F538" i="1"/>
  <c r="H546" i="1"/>
  <c r="H540" i="1"/>
  <c r="G541" i="1" s="1"/>
  <c r="F537" i="1"/>
  <c r="F536" i="1"/>
  <c r="A148" i="5" l="1"/>
  <c r="B563" i="1"/>
  <c r="G548" i="1"/>
  <c r="I15" i="6"/>
  <c r="B562" i="1"/>
  <c r="B561" i="1"/>
  <c r="E596" i="1"/>
  <c r="H538" i="1"/>
  <c r="R148" i="5" l="1"/>
  <c r="I148" i="5"/>
  <c r="O148" i="5"/>
  <c r="Q148" i="5"/>
  <c r="N148" i="5"/>
  <c r="L148" i="5"/>
  <c r="K148" i="5"/>
  <c r="E148" i="5"/>
  <c r="C148" i="5"/>
  <c r="G148" i="5"/>
  <c r="J148" i="5"/>
  <c r="M148" i="5"/>
  <c r="H148" i="5"/>
  <c r="P148" i="5"/>
  <c r="D148" i="5"/>
  <c r="F148" i="5"/>
  <c r="B148" i="5"/>
  <c r="F638" i="1"/>
  <c r="E748" i="1" s="1"/>
  <c r="D897" i="1" s="1"/>
  <c r="D1033" i="1" s="1"/>
  <c r="D1166" i="1" s="1"/>
  <c r="D1243" i="1" s="1"/>
  <c r="D1360" i="1" s="1"/>
  <c r="D1472" i="1" s="1"/>
  <c r="D1582" i="1" s="1"/>
  <c r="D1647" i="1" s="1"/>
  <c r="D1709" i="1" s="1"/>
  <c r="D1764" i="1" s="1"/>
  <c r="D1810" i="1" s="1"/>
  <c r="I603" i="1"/>
  <c r="A149" i="5" l="1"/>
  <c r="A150" i="5" s="1"/>
  <c r="G552" i="1" s="1"/>
  <c r="G553" i="1" l="1"/>
  <c r="G554" i="1" s="1"/>
  <c r="G556" i="1" s="1"/>
  <c r="G558" i="1"/>
  <c r="I561" i="1" s="1"/>
  <c r="F574" i="1" s="1"/>
  <c r="G557" i="1" l="1"/>
  <c r="A159" i="5" s="1"/>
  <c r="G561" i="1"/>
  <c r="A33" i="6"/>
  <c r="A158" i="5"/>
  <c r="R158" i="5" s="1"/>
  <c r="F570" i="1"/>
  <c r="F569" i="1"/>
  <c r="F568" i="1"/>
  <c r="F567" i="1"/>
  <c r="F571" i="1"/>
  <c r="F573" i="1"/>
  <c r="A160" i="5"/>
  <c r="F565" i="1"/>
  <c r="D152" i="5"/>
  <c r="F572" i="1"/>
  <c r="A35" i="6"/>
  <c r="F566" i="1"/>
  <c r="E579" i="1"/>
  <c r="E585" i="1" s="1"/>
  <c r="I17" i="6" l="1"/>
  <c r="H561" i="1"/>
  <c r="D566" i="1" s="1"/>
  <c r="A34" i="6"/>
  <c r="M158" i="5"/>
  <c r="M159" i="5" s="1"/>
  <c r="M160" i="5" s="1"/>
  <c r="B158" i="5"/>
  <c r="B159" i="5" s="1"/>
  <c r="B160" i="5" s="1"/>
  <c r="E158" i="5"/>
  <c r="E159" i="5" s="1"/>
  <c r="E160" i="5" s="1"/>
  <c r="G158" i="5"/>
  <c r="G159" i="5" s="1"/>
  <c r="G160" i="5" s="1"/>
  <c r="L158" i="5"/>
  <c r="L159" i="5" s="1"/>
  <c r="L160" i="5" s="1"/>
  <c r="K158" i="5"/>
  <c r="K159" i="5" s="1"/>
  <c r="K160" i="5" s="1"/>
  <c r="K161" i="5" s="1"/>
  <c r="H158" i="5"/>
  <c r="H159" i="5" s="1"/>
  <c r="D158" i="5"/>
  <c r="D159" i="5" s="1"/>
  <c r="J158" i="5"/>
  <c r="J159" i="5" s="1"/>
  <c r="J160" i="5" s="1"/>
  <c r="I158" i="5"/>
  <c r="I159" i="5" s="1"/>
  <c r="I160" i="5" s="1"/>
  <c r="I161" i="5" s="1"/>
  <c r="O158" i="5"/>
  <c r="O159" i="5" s="1"/>
  <c r="O160" i="5" s="1"/>
  <c r="N158" i="5"/>
  <c r="N159" i="5" s="1"/>
  <c r="N160" i="5" s="1"/>
  <c r="C158" i="5"/>
  <c r="C159" i="5" s="1"/>
  <c r="C160" i="5" s="1"/>
  <c r="C161" i="5" s="1"/>
  <c r="Q158" i="5"/>
  <c r="Q159" i="5" s="1"/>
  <c r="Q160" i="5" s="1"/>
  <c r="F158" i="5"/>
  <c r="F159" i="5" s="1"/>
  <c r="F160" i="5" s="1"/>
  <c r="P158" i="5"/>
  <c r="P159" i="5" s="1"/>
  <c r="P160" i="5" s="1"/>
  <c r="E577" i="1"/>
  <c r="E583" i="1" s="1"/>
  <c r="B152" i="5"/>
  <c r="R159" i="5"/>
  <c r="R160" i="5" s="1"/>
  <c r="D567" i="1" l="1"/>
  <c r="D574" i="1"/>
  <c r="D573" i="1"/>
  <c r="D571" i="1"/>
  <c r="D569" i="1"/>
  <c r="D564" i="1"/>
  <c r="E578" i="1"/>
  <c r="E584" i="1" s="1"/>
  <c r="D572" i="1"/>
  <c r="D570" i="1"/>
  <c r="D575" i="1"/>
  <c r="D563" i="1"/>
  <c r="D565" i="1"/>
  <c r="D568" i="1"/>
  <c r="C152" i="5"/>
  <c r="J153" i="5" s="1"/>
  <c r="J154" i="5" s="1"/>
  <c r="Q161" i="5"/>
  <c r="L161" i="5"/>
  <c r="M161" i="5"/>
  <c r="E161" i="5"/>
  <c r="R161" i="5"/>
  <c r="N161" i="5"/>
  <c r="O161" i="5"/>
  <c r="P161" i="5"/>
  <c r="J161" i="5"/>
  <c r="F161" i="5"/>
  <c r="G161" i="5"/>
  <c r="B161" i="5"/>
  <c r="H160" i="5"/>
  <c r="H161" i="5" s="1"/>
  <c r="D160" i="5"/>
  <c r="D161" i="5" s="1"/>
  <c r="I153" i="5" l="1"/>
  <c r="I154" i="5" s="1"/>
  <c r="L153" i="5"/>
  <c r="L154" i="5" s="1"/>
  <c r="H153" i="5"/>
  <c r="H154" i="5" s="1"/>
  <c r="O153" i="5"/>
  <c r="O154" i="5" s="1"/>
  <c r="F153" i="5"/>
  <c r="F154" i="5" s="1"/>
  <c r="B153" i="5"/>
  <c r="B154" i="5" s="1"/>
  <c r="N153" i="5"/>
  <c r="N154" i="5" s="1"/>
  <c r="C153" i="5"/>
  <c r="C154" i="5" s="1"/>
  <c r="K153" i="5"/>
  <c r="K154" i="5" s="1"/>
  <c r="D153" i="5"/>
  <c r="D154" i="5" s="1"/>
  <c r="G153" i="5"/>
  <c r="G154" i="5" s="1"/>
  <c r="E153" i="5"/>
  <c r="E154" i="5" s="1"/>
  <c r="M153" i="5"/>
  <c r="M154" i="5" s="1"/>
  <c r="Q153" i="5"/>
  <c r="Q154" i="5" s="1"/>
  <c r="P153" i="5"/>
  <c r="P154" i="5" s="1"/>
  <c r="R153" i="5"/>
  <c r="R154" i="5" s="1"/>
  <c r="E570" i="1"/>
  <c r="E569" i="1"/>
  <c r="E572" i="1"/>
  <c r="E566" i="1"/>
  <c r="E567" i="1"/>
  <c r="E568" i="1"/>
  <c r="E574" i="1"/>
  <c r="E573" i="1"/>
  <c r="E565" i="1"/>
  <c r="E571" i="1"/>
  <c r="D155" i="5" l="1"/>
  <c r="E155" i="5" s="1"/>
  <c r="G155" i="5" s="1"/>
  <c r="B155" i="5"/>
  <c r="C155" i="5"/>
  <c r="F155" i="5" l="1"/>
  <c r="A155" i="5" s="1"/>
  <c r="D561" i="1" s="1"/>
  <c r="E561" i="1" s="1"/>
  <c r="G564" i="1" s="1"/>
  <c r="G563" i="1" l="1"/>
  <c r="C744" i="1"/>
  <c r="G565" i="1"/>
  <c r="G586" i="1" s="1"/>
  <c r="G566" i="1" l="1"/>
  <c r="G567" i="1" s="1"/>
  <c r="H565" i="1"/>
  <c r="H566" i="1" l="1"/>
  <c r="G568" i="1"/>
  <c r="H567" i="1"/>
  <c r="H568" i="1" l="1"/>
  <c r="G569" i="1"/>
  <c r="H569" i="1" l="1"/>
  <c r="G570" i="1"/>
  <c r="H570" i="1" l="1"/>
  <c r="G571" i="1"/>
  <c r="H571" i="1" l="1"/>
  <c r="G572" i="1"/>
  <c r="G573" i="1" l="1"/>
  <c r="H572" i="1"/>
  <c r="H573" i="1" l="1"/>
  <c r="G574" i="1"/>
  <c r="H574" i="1" s="1"/>
  <c r="F578" i="1" l="1"/>
  <c r="F579" i="1"/>
  <c r="F577" i="1"/>
  <c r="F582" i="1" l="1"/>
  <c r="F581" i="1"/>
  <c r="F580" i="1"/>
  <c r="E580" i="1" l="1"/>
  <c r="G576" i="1" s="1"/>
  <c r="E581" i="1" l="1"/>
  <c r="A32" i="6"/>
  <c r="G577" i="1"/>
  <c r="G578" i="1" s="1"/>
  <c r="H578" i="1" l="1"/>
  <c r="F584" i="1" s="1"/>
  <c r="F585" i="1" l="1"/>
  <c r="F583" i="1"/>
  <c r="F586" i="1" l="1"/>
  <c r="F588" i="1"/>
  <c r="G585" i="1"/>
  <c r="A595" i="1" s="1"/>
  <c r="G584" i="1"/>
  <c r="F587" i="1"/>
  <c r="G580" i="1" l="1"/>
  <c r="G581" i="1" s="1"/>
  <c r="G582" i="1" s="1"/>
  <c r="G588" i="1"/>
  <c r="F662" i="1"/>
  <c r="I39" i="6"/>
  <c r="I40" i="6" s="1"/>
  <c r="A627" i="1"/>
  <c r="A596" i="1"/>
  <c r="G595" i="1"/>
  <c r="A597" i="1" l="1"/>
  <c r="H595" i="1"/>
  <c r="A628" i="1"/>
  <c r="G597" i="1"/>
  <c r="G596" i="1"/>
  <c r="H596" i="1" l="1"/>
  <c r="H597" i="1"/>
  <c r="A629" i="1"/>
  <c r="I595" i="1"/>
  <c r="A598" i="1"/>
  <c r="I596" i="1" l="1"/>
  <c r="I597" i="1"/>
  <c r="J595" i="1"/>
  <c r="A599" i="1"/>
  <c r="A630" i="1"/>
  <c r="K595" i="1" l="1"/>
  <c r="A600" i="1"/>
  <c r="A631" i="1"/>
  <c r="J597" i="1"/>
  <c r="J596" i="1"/>
  <c r="A632" i="1" l="1"/>
  <c r="G598" i="1"/>
  <c r="A601" i="1"/>
  <c r="K597" i="1"/>
  <c r="K596" i="1"/>
  <c r="A602" i="1" l="1"/>
  <c r="H598" i="1"/>
  <c r="A633" i="1"/>
  <c r="G599" i="1"/>
  <c r="G600" i="1"/>
  <c r="H599" i="1" l="1"/>
  <c r="H600" i="1"/>
  <c r="A634" i="1"/>
  <c r="I598" i="1"/>
  <c r="A603" i="1"/>
  <c r="I600" i="1" l="1"/>
  <c r="I599" i="1"/>
  <c r="A604" i="1"/>
  <c r="A635" i="1"/>
  <c r="J598" i="1"/>
  <c r="K598" i="1" l="1"/>
  <c r="A605" i="1"/>
  <c r="A636" i="1"/>
  <c r="J600" i="1"/>
  <c r="J599" i="1"/>
  <c r="L598" i="1" l="1"/>
  <c r="A606" i="1"/>
  <c r="A637" i="1"/>
  <c r="K599" i="1"/>
  <c r="K600" i="1"/>
  <c r="G601" i="1" l="1"/>
  <c r="A607" i="1"/>
  <c r="A638" i="1"/>
  <c r="L599" i="1"/>
  <c r="L600" i="1"/>
  <c r="A639" i="1" l="1"/>
  <c r="G650" i="1" s="1"/>
  <c r="B607" i="1"/>
  <c r="G631" i="1" s="1"/>
  <c r="G606" i="1"/>
  <c r="H601" i="1"/>
  <c r="G602" i="1"/>
  <c r="G603" i="1"/>
  <c r="H602" i="1" l="1"/>
  <c r="H603" i="1"/>
  <c r="A612" i="1"/>
  <c r="D631" i="1"/>
  <c r="B610" i="1" l="1"/>
  <c r="B611" i="1"/>
  <c r="C612" i="1"/>
  <c r="B612" i="1"/>
  <c r="B609" i="1"/>
  <c r="J609" i="1" l="1"/>
  <c r="D612" i="1"/>
  <c r="G612" i="1"/>
  <c r="D609" i="1" s="1"/>
  <c r="G614" i="1"/>
  <c r="D610" i="1" s="1"/>
  <c r="D611" i="1"/>
  <c r="I609" i="1"/>
  <c r="G609" i="1"/>
  <c r="H609" i="1"/>
  <c r="E611" i="1" l="1"/>
  <c r="E610" i="1"/>
  <c r="G622" i="1"/>
  <c r="G627" i="1" s="1"/>
  <c r="G624" i="1"/>
  <c r="E609" i="1"/>
  <c r="E612" i="1"/>
  <c r="F613" i="1" l="1"/>
  <c r="H619" i="1"/>
  <c r="G619" i="1"/>
  <c r="F614" i="1"/>
  <c r="E627" i="1"/>
  <c r="I41" i="6"/>
  <c r="G633" i="1"/>
  <c r="G629" i="1"/>
  <c r="G634" i="1"/>
  <c r="G630" i="1"/>
  <c r="A640" i="1"/>
  <c r="G616" i="1" l="1"/>
  <c r="B639" i="1"/>
  <c r="B640" i="1"/>
  <c r="B638" i="1"/>
  <c r="B628" i="1"/>
  <c r="B635" i="1"/>
  <c r="B632" i="1"/>
  <c r="B631" i="1"/>
  <c r="B627" i="1"/>
  <c r="B633" i="1"/>
  <c r="B634" i="1"/>
  <c r="B637" i="1"/>
  <c r="B629" i="1"/>
  <c r="B636" i="1"/>
  <c r="B630" i="1"/>
  <c r="E628" i="1"/>
  <c r="L643" i="1"/>
  <c r="L753" i="1" l="1"/>
  <c r="L899" i="1" s="1"/>
  <c r="L1034" i="1" s="1"/>
  <c r="A163" i="5"/>
  <c r="C640" i="1"/>
  <c r="C637" i="1"/>
  <c r="C639" i="1"/>
  <c r="C630" i="1"/>
  <c r="C634" i="1"/>
  <c r="C633" i="1"/>
  <c r="C629" i="1"/>
  <c r="C638" i="1"/>
  <c r="C631" i="1"/>
  <c r="C627" i="1"/>
  <c r="C632" i="1"/>
  <c r="C628" i="1"/>
  <c r="C636" i="1"/>
  <c r="C635" i="1"/>
  <c r="K643" i="1"/>
  <c r="E629" i="1"/>
  <c r="A648" i="1" l="1"/>
  <c r="A649" i="1" s="1"/>
  <c r="A650" i="1" s="1"/>
  <c r="A651" i="1" s="1"/>
  <c r="A652" i="1" s="1"/>
  <c r="A653" i="1" s="1"/>
  <c r="A654" i="1" s="1"/>
  <c r="A655" i="1" s="1"/>
  <c r="A656" i="1" s="1"/>
  <c r="A657" i="1" s="1"/>
  <c r="A658" i="1" s="1"/>
  <c r="A659" i="1" s="1"/>
  <c r="A660" i="1" s="1"/>
  <c r="B660" i="1" s="1"/>
  <c r="G637" i="1"/>
  <c r="A682" i="1"/>
  <c r="K640" i="1"/>
  <c r="A691" i="1"/>
  <c r="A689" i="1"/>
  <c r="I640" i="1"/>
  <c r="A695" i="1"/>
  <c r="H640" i="1"/>
  <c r="A688" i="1"/>
  <c r="K637" i="1"/>
  <c r="A686" i="1"/>
  <c r="E630" i="1"/>
  <c r="J643" i="1"/>
  <c r="A683" i="1"/>
  <c r="H637" i="1"/>
  <c r="A693" i="1"/>
  <c r="G643" i="1"/>
  <c r="A685" i="1"/>
  <c r="J637" i="1"/>
  <c r="I163" i="5"/>
  <c r="L163" i="5"/>
  <c r="D163" i="5"/>
  <c r="B163" i="5"/>
  <c r="N163" i="5"/>
  <c r="M163" i="5"/>
  <c r="R163" i="5"/>
  <c r="J163" i="5"/>
  <c r="K163" i="5"/>
  <c r="G163" i="5"/>
  <c r="Q163" i="5"/>
  <c r="C163" i="5"/>
  <c r="E163" i="5"/>
  <c r="P163" i="5"/>
  <c r="O163" i="5"/>
  <c r="F163" i="5"/>
  <c r="H163" i="5"/>
  <c r="A690" i="1"/>
  <c r="J640" i="1"/>
  <c r="A692" i="1"/>
  <c r="L640" i="1"/>
  <c r="K644" i="1"/>
  <c r="K753" i="1"/>
  <c r="K645" i="1"/>
  <c r="A180" i="5"/>
  <c r="G640" i="1"/>
  <c r="A687" i="1"/>
  <c r="I637" i="1"/>
  <c r="A684" i="1"/>
  <c r="H643" i="1"/>
  <c r="A694" i="1"/>
  <c r="L1167" i="1"/>
  <c r="L1246" i="1" s="1"/>
  <c r="L1362" i="1" s="1"/>
  <c r="L1474" i="1" s="1"/>
  <c r="L1583" i="1" s="1"/>
  <c r="L1648" i="1" s="1"/>
  <c r="L1710" i="1" s="1"/>
  <c r="L1765" i="1" s="1"/>
  <c r="L1811" i="1" s="1"/>
  <c r="L1889" i="1" s="1"/>
  <c r="E37" i="6"/>
  <c r="I643" i="1" l="1"/>
  <c r="I644" i="1" s="1"/>
  <c r="C732" i="1"/>
  <c r="C730" i="1"/>
  <c r="C729" i="1"/>
  <c r="C723" i="1"/>
  <c r="C721" i="1"/>
  <c r="C728" i="1"/>
  <c r="C731" i="1"/>
  <c r="C724" i="1"/>
  <c r="C722" i="1"/>
  <c r="C720" i="1"/>
  <c r="C719" i="1"/>
  <c r="C727" i="1"/>
  <c r="C725" i="1"/>
  <c r="C726" i="1"/>
  <c r="M180" i="5"/>
  <c r="M164" i="5"/>
  <c r="M165" i="5" s="1"/>
  <c r="M166" i="5" s="1"/>
  <c r="M167" i="5" s="1"/>
  <c r="M168" i="5" s="1"/>
  <c r="M169" i="5" s="1"/>
  <c r="M170" i="5" s="1"/>
  <c r="M171" i="5" s="1"/>
  <c r="M172" i="5" s="1"/>
  <c r="M173" i="5" s="1"/>
  <c r="M174" i="5" s="1"/>
  <c r="M175" i="5" s="1"/>
  <c r="M176" i="5" s="1"/>
  <c r="M177" i="5" s="1"/>
  <c r="M178" i="5" s="1"/>
  <c r="G37" i="6"/>
  <c r="H37" i="6" s="1"/>
  <c r="H36" i="6" s="1"/>
  <c r="F37" i="6"/>
  <c r="G641" i="1"/>
  <c r="G642" i="1"/>
  <c r="G180" i="5"/>
  <c r="G164" i="5"/>
  <c r="G165" i="5" s="1"/>
  <c r="G166" i="5" s="1"/>
  <c r="G167" i="5" s="1"/>
  <c r="G168" i="5" s="1"/>
  <c r="G169" i="5" s="1"/>
  <c r="G170" i="5" s="1"/>
  <c r="G171" i="5" s="1"/>
  <c r="G172" i="5" s="1"/>
  <c r="G173" i="5" s="1"/>
  <c r="G174" i="5" s="1"/>
  <c r="G175" i="5" s="1"/>
  <c r="G176" i="5" s="1"/>
  <c r="G177" i="5" s="1"/>
  <c r="G178" i="5" s="1"/>
  <c r="G645" i="1"/>
  <c r="G644" i="1"/>
  <c r="E180" i="5"/>
  <c r="E164" i="5"/>
  <c r="E165" i="5" s="1"/>
  <c r="E166" i="5" s="1"/>
  <c r="E167" i="5" s="1"/>
  <c r="E168" i="5" s="1"/>
  <c r="E169" i="5" s="1"/>
  <c r="E170" i="5" s="1"/>
  <c r="E171" i="5" s="1"/>
  <c r="E172" i="5" s="1"/>
  <c r="E173" i="5" s="1"/>
  <c r="E174" i="5" s="1"/>
  <c r="E175" i="5" s="1"/>
  <c r="E176" i="5" s="1"/>
  <c r="E177" i="5" s="1"/>
  <c r="E178" i="5" s="1"/>
  <c r="I164" i="5"/>
  <c r="I165" i="5" s="1"/>
  <c r="I166" i="5" s="1"/>
  <c r="I167" i="5" s="1"/>
  <c r="I168" i="5" s="1"/>
  <c r="I169" i="5" s="1"/>
  <c r="I170" i="5" s="1"/>
  <c r="I171" i="5" s="1"/>
  <c r="I172" i="5" s="1"/>
  <c r="I173" i="5" s="1"/>
  <c r="I174" i="5" s="1"/>
  <c r="I175" i="5" s="1"/>
  <c r="I176" i="5" s="1"/>
  <c r="I177" i="5" s="1"/>
  <c r="I178" i="5" s="1"/>
  <c r="I180" i="5"/>
  <c r="I641" i="1"/>
  <c r="I642" i="1"/>
  <c r="I638" i="1"/>
  <c r="I639" i="1"/>
  <c r="F164" i="5"/>
  <c r="F165" i="5" s="1"/>
  <c r="F166" i="5" s="1"/>
  <c r="F167" i="5" s="1"/>
  <c r="F168" i="5" s="1"/>
  <c r="F169" i="5" s="1"/>
  <c r="F170" i="5" s="1"/>
  <c r="F171" i="5" s="1"/>
  <c r="F172" i="5" s="1"/>
  <c r="F173" i="5" s="1"/>
  <c r="F174" i="5" s="1"/>
  <c r="F175" i="5" s="1"/>
  <c r="F176" i="5" s="1"/>
  <c r="F177" i="5" s="1"/>
  <c r="F178" i="5" s="1"/>
  <c r="F180" i="5"/>
  <c r="C164" i="5"/>
  <c r="C165" i="5" s="1"/>
  <c r="C166" i="5" s="1"/>
  <c r="C167" i="5" s="1"/>
  <c r="C168" i="5" s="1"/>
  <c r="C169" i="5" s="1"/>
  <c r="C170" i="5" s="1"/>
  <c r="C171" i="5" s="1"/>
  <c r="C172" i="5" s="1"/>
  <c r="C173" i="5" s="1"/>
  <c r="C174" i="5" s="1"/>
  <c r="C175" i="5" s="1"/>
  <c r="C176" i="5" s="1"/>
  <c r="C177" i="5" s="1"/>
  <c r="C178" i="5" s="1"/>
  <c r="C180" i="5"/>
  <c r="J164" i="5"/>
  <c r="J165" i="5" s="1"/>
  <c r="J166" i="5" s="1"/>
  <c r="J167" i="5" s="1"/>
  <c r="J168" i="5" s="1"/>
  <c r="J169" i="5" s="1"/>
  <c r="J170" i="5" s="1"/>
  <c r="J171" i="5" s="1"/>
  <c r="J172" i="5" s="1"/>
  <c r="J173" i="5" s="1"/>
  <c r="J174" i="5" s="1"/>
  <c r="J175" i="5" s="1"/>
  <c r="J176" i="5" s="1"/>
  <c r="J177" i="5" s="1"/>
  <c r="J178" i="5" s="1"/>
  <c r="J180" i="5"/>
  <c r="B180" i="5"/>
  <c r="B164" i="5"/>
  <c r="B165" i="5" s="1"/>
  <c r="B166" i="5" s="1"/>
  <c r="B167" i="5" s="1"/>
  <c r="B168" i="5" s="1"/>
  <c r="B169" i="5" s="1"/>
  <c r="B170" i="5" s="1"/>
  <c r="B171" i="5" s="1"/>
  <c r="B172" i="5" s="1"/>
  <c r="B173" i="5" s="1"/>
  <c r="B174" i="5" s="1"/>
  <c r="B175" i="5" s="1"/>
  <c r="B176" i="5" s="1"/>
  <c r="B177" i="5" s="1"/>
  <c r="B178" i="5" s="1"/>
  <c r="J639" i="1"/>
  <c r="J638" i="1"/>
  <c r="H639" i="1"/>
  <c r="H638" i="1"/>
  <c r="G638" i="1"/>
  <c r="G639" i="1"/>
  <c r="H645" i="1"/>
  <c r="H644" i="1"/>
  <c r="P164" i="5"/>
  <c r="P165" i="5" s="1"/>
  <c r="P166" i="5" s="1"/>
  <c r="P167" i="5" s="1"/>
  <c r="P168" i="5" s="1"/>
  <c r="P169" i="5" s="1"/>
  <c r="P170" i="5" s="1"/>
  <c r="P171" i="5" s="1"/>
  <c r="P172" i="5" s="1"/>
  <c r="P173" i="5" s="1"/>
  <c r="P174" i="5" s="1"/>
  <c r="P175" i="5" s="1"/>
  <c r="P176" i="5" s="1"/>
  <c r="P177" i="5" s="1"/>
  <c r="P178" i="5" s="1"/>
  <c r="P180" i="5"/>
  <c r="L180" i="5"/>
  <c r="L164" i="5"/>
  <c r="L165" i="5" s="1"/>
  <c r="L166" i="5" s="1"/>
  <c r="L167" i="5" s="1"/>
  <c r="L168" i="5" s="1"/>
  <c r="L169" i="5" s="1"/>
  <c r="L170" i="5" s="1"/>
  <c r="L171" i="5" s="1"/>
  <c r="L172" i="5" s="1"/>
  <c r="L173" i="5" s="1"/>
  <c r="L174" i="5" s="1"/>
  <c r="L175" i="5" s="1"/>
  <c r="L176" i="5" s="1"/>
  <c r="L177" i="5" s="1"/>
  <c r="L178" i="5" s="1"/>
  <c r="J753" i="1"/>
  <c r="J899" i="1" s="1"/>
  <c r="J1034" i="1" s="1"/>
  <c r="A196" i="5"/>
  <c r="J644" i="1"/>
  <c r="J645" i="1"/>
  <c r="K642" i="1"/>
  <c r="K641" i="1"/>
  <c r="L641" i="1"/>
  <c r="L642" i="1"/>
  <c r="H164" i="5"/>
  <c r="H165" i="5" s="1"/>
  <c r="H166" i="5" s="1"/>
  <c r="H167" i="5" s="1"/>
  <c r="H168" i="5" s="1"/>
  <c r="H169" i="5" s="1"/>
  <c r="H170" i="5" s="1"/>
  <c r="H171" i="5" s="1"/>
  <c r="H172" i="5" s="1"/>
  <c r="H173" i="5" s="1"/>
  <c r="H174" i="5" s="1"/>
  <c r="H175" i="5" s="1"/>
  <c r="H176" i="5" s="1"/>
  <c r="H177" i="5" s="1"/>
  <c r="H178" i="5" s="1"/>
  <c r="H180" i="5"/>
  <c r="K180" i="5"/>
  <c r="K164" i="5"/>
  <c r="K165" i="5" s="1"/>
  <c r="K166" i="5" s="1"/>
  <c r="K167" i="5" s="1"/>
  <c r="K168" i="5" s="1"/>
  <c r="K169" i="5" s="1"/>
  <c r="K170" i="5" s="1"/>
  <c r="K171" i="5" s="1"/>
  <c r="K172" i="5" s="1"/>
  <c r="K173" i="5" s="1"/>
  <c r="K174" i="5" s="1"/>
  <c r="K175" i="5" s="1"/>
  <c r="K176" i="5" s="1"/>
  <c r="K177" i="5" s="1"/>
  <c r="K178" i="5" s="1"/>
  <c r="N180" i="5"/>
  <c r="N164" i="5"/>
  <c r="N165" i="5" s="1"/>
  <c r="N166" i="5" s="1"/>
  <c r="N167" i="5" s="1"/>
  <c r="N168" i="5" s="1"/>
  <c r="N169" i="5" s="1"/>
  <c r="N170" i="5" s="1"/>
  <c r="N171" i="5" s="1"/>
  <c r="N172" i="5" s="1"/>
  <c r="N173" i="5" s="1"/>
  <c r="N174" i="5" s="1"/>
  <c r="N175" i="5" s="1"/>
  <c r="N176" i="5" s="1"/>
  <c r="N177" i="5" s="1"/>
  <c r="N178" i="5" s="1"/>
  <c r="H642" i="1"/>
  <c r="H641" i="1"/>
  <c r="K899" i="1"/>
  <c r="K1034" i="1" s="1"/>
  <c r="J642" i="1"/>
  <c r="J641" i="1"/>
  <c r="O180" i="5"/>
  <c r="O164" i="5"/>
  <c r="O165" i="5" s="1"/>
  <c r="O166" i="5" s="1"/>
  <c r="O167" i="5" s="1"/>
  <c r="O168" i="5" s="1"/>
  <c r="O169" i="5" s="1"/>
  <c r="O170" i="5" s="1"/>
  <c r="O171" i="5" s="1"/>
  <c r="O172" i="5" s="1"/>
  <c r="O173" i="5" s="1"/>
  <c r="O174" i="5" s="1"/>
  <c r="O175" i="5" s="1"/>
  <c r="O176" i="5" s="1"/>
  <c r="O177" i="5" s="1"/>
  <c r="O178" i="5" s="1"/>
  <c r="Q180" i="5"/>
  <c r="Q164" i="5"/>
  <c r="Q165" i="5" s="1"/>
  <c r="Q166" i="5" s="1"/>
  <c r="Q167" i="5" s="1"/>
  <c r="Q168" i="5" s="1"/>
  <c r="Q169" i="5" s="1"/>
  <c r="Q170" i="5" s="1"/>
  <c r="Q171" i="5" s="1"/>
  <c r="Q172" i="5" s="1"/>
  <c r="Q173" i="5" s="1"/>
  <c r="Q174" i="5" s="1"/>
  <c r="Q175" i="5" s="1"/>
  <c r="Q176" i="5" s="1"/>
  <c r="Q177" i="5" s="1"/>
  <c r="Q178" i="5" s="1"/>
  <c r="R180" i="5"/>
  <c r="R164" i="5"/>
  <c r="R165" i="5" s="1"/>
  <c r="R166" i="5" s="1"/>
  <c r="R167" i="5" s="1"/>
  <c r="R168" i="5" s="1"/>
  <c r="R169" i="5" s="1"/>
  <c r="R170" i="5" s="1"/>
  <c r="R171" i="5" s="1"/>
  <c r="R172" i="5" s="1"/>
  <c r="R173" i="5" s="1"/>
  <c r="R174" i="5" s="1"/>
  <c r="R175" i="5" s="1"/>
  <c r="R176" i="5" s="1"/>
  <c r="R177" i="5" s="1"/>
  <c r="R178" i="5" s="1"/>
  <c r="D180" i="5"/>
  <c r="D164" i="5"/>
  <c r="D165" i="5" s="1"/>
  <c r="D166" i="5" s="1"/>
  <c r="D167" i="5" s="1"/>
  <c r="D168" i="5" s="1"/>
  <c r="D169" i="5" s="1"/>
  <c r="D170" i="5" s="1"/>
  <c r="D171" i="5" s="1"/>
  <c r="D172" i="5" s="1"/>
  <c r="D173" i="5" s="1"/>
  <c r="D174" i="5" s="1"/>
  <c r="D175" i="5" s="1"/>
  <c r="D176" i="5" s="1"/>
  <c r="D177" i="5" s="1"/>
  <c r="D178" i="5" s="1"/>
  <c r="K639" i="1"/>
  <c r="K638" i="1"/>
  <c r="H650" i="1"/>
  <c r="H661" i="1"/>
  <c r="H662" i="1"/>
  <c r="H656" i="1"/>
  <c r="H655" i="1"/>
  <c r="H654" i="1"/>
  <c r="H657" i="1"/>
  <c r="H658" i="1"/>
  <c r="H659" i="1"/>
  <c r="H652" i="1"/>
  <c r="H651" i="1"/>
  <c r="H660" i="1"/>
  <c r="H653" i="1"/>
  <c r="A211" i="5" l="1"/>
  <c r="I645" i="1"/>
  <c r="B181" i="5"/>
  <c r="B182" i="5" s="1"/>
  <c r="B183" i="5" s="1"/>
  <c r="B184" i="5" s="1"/>
  <c r="B185" i="5" s="1"/>
  <c r="B186" i="5" s="1"/>
  <c r="B187" i="5" s="1"/>
  <c r="B188" i="5" s="1"/>
  <c r="B189" i="5" s="1"/>
  <c r="B190" i="5" s="1"/>
  <c r="B191" i="5" s="1"/>
  <c r="B192" i="5" s="1"/>
  <c r="B193" i="5" s="1"/>
  <c r="B194" i="5" s="1"/>
  <c r="B196" i="5"/>
  <c r="P196" i="5"/>
  <c r="P181" i="5"/>
  <c r="P182" i="5" s="1"/>
  <c r="P183" i="5" s="1"/>
  <c r="P184" i="5" s="1"/>
  <c r="P185" i="5" s="1"/>
  <c r="P186" i="5" s="1"/>
  <c r="P187" i="5" s="1"/>
  <c r="P188" i="5" s="1"/>
  <c r="P189" i="5" s="1"/>
  <c r="P190" i="5" s="1"/>
  <c r="P191" i="5" s="1"/>
  <c r="P192" i="5" s="1"/>
  <c r="P193" i="5" s="1"/>
  <c r="P194" i="5" s="1"/>
  <c r="J196" i="5"/>
  <c r="J181" i="5"/>
  <c r="J182" i="5" s="1"/>
  <c r="J183" i="5" s="1"/>
  <c r="J184" i="5" s="1"/>
  <c r="J185" i="5" s="1"/>
  <c r="J186" i="5" s="1"/>
  <c r="J187" i="5" s="1"/>
  <c r="J188" i="5" s="1"/>
  <c r="J189" i="5" s="1"/>
  <c r="J190" i="5" s="1"/>
  <c r="J191" i="5" s="1"/>
  <c r="J192" i="5" s="1"/>
  <c r="J193" i="5" s="1"/>
  <c r="J194" i="5" s="1"/>
  <c r="F181" i="5"/>
  <c r="F182" i="5" s="1"/>
  <c r="F183" i="5" s="1"/>
  <c r="F184" i="5" s="1"/>
  <c r="F185" i="5" s="1"/>
  <c r="F186" i="5" s="1"/>
  <c r="F187" i="5" s="1"/>
  <c r="F188" i="5" s="1"/>
  <c r="F189" i="5" s="1"/>
  <c r="F190" i="5" s="1"/>
  <c r="F191" i="5" s="1"/>
  <c r="F192" i="5" s="1"/>
  <c r="F193" i="5" s="1"/>
  <c r="F194" i="5" s="1"/>
  <c r="F196" i="5"/>
  <c r="L196" i="5"/>
  <c r="L181" i="5"/>
  <c r="L182" i="5" s="1"/>
  <c r="L183" i="5" s="1"/>
  <c r="L184" i="5" s="1"/>
  <c r="L185" i="5" s="1"/>
  <c r="L186" i="5" s="1"/>
  <c r="L187" i="5" s="1"/>
  <c r="L188" i="5" s="1"/>
  <c r="L189" i="5" s="1"/>
  <c r="L190" i="5" s="1"/>
  <c r="L191" i="5" s="1"/>
  <c r="L192" i="5" s="1"/>
  <c r="L193" i="5" s="1"/>
  <c r="L194" i="5" s="1"/>
  <c r="H181" i="5"/>
  <c r="H182" i="5" s="1"/>
  <c r="H183" i="5" s="1"/>
  <c r="H184" i="5" s="1"/>
  <c r="H185" i="5" s="1"/>
  <c r="H186" i="5" s="1"/>
  <c r="H187" i="5" s="1"/>
  <c r="H188" i="5" s="1"/>
  <c r="H189" i="5" s="1"/>
  <c r="H190" i="5" s="1"/>
  <c r="H191" i="5" s="1"/>
  <c r="H192" i="5" s="1"/>
  <c r="H193" i="5" s="1"/>
  <c r="H194" i="5" s="1"/>
  <c r="H196" i="5"/>
  <c r="G678" i="1"/>
  <c r="F663" i="1"/>
  <c r="E668" i="1" s="1"/>
  <c r="G666" i="1" s="1"/>
  <c r="G694" i="1"/>
  <c r="J10" i="6"/>
  <c r="A698" i="1"/>
  <c r="F717" i="1"/>
  <c r="G685" i="1"/>
  <c r="A227" i="5"/>
  <c r="G676" i="1"/>
  <c r="G663" i="1"/>
  <c r="F747" i="1"/>
  <c r="R181" i="5"/>
  <c r="R182" i="5" s="1"/>
  <c r="R183" i="5" s="1"/>
  <c r="R184" i="5" s="1"/>
  <c r="R185" i="5" s="1"/>
  <c r="R186" i="5" s="1"/>
  <c r="R187" i="5" s="1"/>
  <c r="R188" i="5" s="1"/>
  <c r="R189" i="5" s="1"/>
  <c r="R190" i="5" s="1"/>
  <c r="R191" i="5" s="1"/>
  <c r="R192" i="5" s="1"/>
  <c r="R193" i="5" s="1"/>
  <c r="R194" i="5" s="1"/>
  <c r="R196" i="5"/>
  <c r="O196" i="5"/>
  <c r="O181" i="5"/>
  <c r="O182" i="5" s="1"/>
  <c r="O183" i="5" s="1"/>
  <c r="O184" i="5" s="1"/>
  <c r="O185" i="5" s="1"/>
  <c r="O186" i="5" s="1"/>
  <c r="O187" i="5" s="1"/>
  <c r="O188" i="5" s="1"/>
  <c r="O189" i="5" s="1"/>
  <c r="O190" i="5" s="1"/>
  <c r="O191" i="5" s="1"/>
  <c r="O192" i="5" s="1"/>
  <c r="O193" i="5" s="1"/>
  <c r="O194" i="5" s="1"/>
  <c r="E36" i="6"/>
  <c r="F36" i="6" s="1"/>
  <c r="K1167" i="1"/>
  <c r="K1246" i="1" s="1"/>
  <c r="K1362" i="1" s="1"/>
  <c r="K1474" i="1" s="1"/>
  <c r="K1583" i="1" s="1"/>
  <c r="K1648" i="1" s="1"/>
  <c r="K1710" i="1" s="1"/>
  <c r="K1765" i="1" s="1"/>
  <c r="K1811" i="1" s="1"/>
  <c r="K1889" i="1" s="1"/>
  <c r="N181" i="5"/>
  <c r="N182" i="5" s="1"/>
  <c r="N183" i="5" s="1"/>
  <c r="N184" i="5" s="1"/>
  <c r="N185" i="5" s="1"/>
  <c r="N186" i="5" s="1"/>
  <c r="N187" i="5" s="1"/>
  <c r="N188" i="5" s="1"/>
  <c r="N189" i="5" s="1"/>
  <c r="N190" i="5" s="1"/>
  <c r="N191" i="5" s="1"/>
  <c r="N192" i="5" s="1"/>
  <c r="N193" i="5" s="1"/>
  <c r="N194" i="5" s="1"/>
  <c r="N196" i="5"/>
  <c r="E35" i="6"/>
  <c r="J1167" i="1"/>
  <c r="J1246" i="1" s="1"/>
  <c r="J1362" i="1" s="1"/>
  <c r="J1474" i="1" s="1"/>
  <c r="J1583" i="1" s="1"/>
  <c r="J1648" i="1" s="1"/>
  <c r="J1710" i="1" s="1"/>
  <c r="J1765" i="1" s="1"/>
  <c r="J1811" i="1" s="1"/>
  <c r="J1889" i="1" s="1"/>
  <c r="E196" i="5"/>
  <c r="E181" i="5"/>
  <c r="E182" i="5" s="1"/>
  <c r="E183" i="5" s="1"/>
  <c r="E184" i="5" s="1"/>
  <c r="E185" i="5" s="1"/>
  <c r="E186" i="5" s="1"/>
  <c r="E187" i="5" s="1"/>
  <c r="E188" i="5" s="1"/>
  <c r="E189" i="5" s="1"/>
  <c r="E190" i="5" s="1"/>
  <c r="E191" i="5" s="1"/>
  <c r="E192" i="5" s="1"/>
  <c r="E193" i="5" s="1"/>
  <c r="E194" i="5" s="1"/>
  <c r="G181" i="5"/>
  <c r="G182" i="5" s="1"/>
  <c r="G183" i="5" s="1"/>
  <c r="G184" i="5" s="1"/>
  <c r="G185" i="5" s="1"/>
  <c r="G186" i="5" s="1"/>
  <c r="G187" i="5" s="1"/>
  <c r="G188" i="5" s="1"/>
  <c r="G189" i="5" s="1"/>
  <c r="G190" i="5" s="1"/>
  <c r="G191" i="5" s="1"/>
  <c r="G192" i="5" s="1"/>
  <c r="G193" i="5" s="1"/>
  <c r="G194" i="5" s="1"/>
  <c r="G196" i="5"/>
  <c r="D196" i="5"/>
  <c r="D181" i="5"/>
  <c r="D182" i="5" s="1"/>
  <c r="D183" i="5" s="1"/>
  <c r="D184" i="5" s="1"/>
  <c r="D185" i="5" s="1"/>
  <c r="D186" i="5" s="1"/>
  <c r="D187" i="5" s="1"/>
  <c r="D188" i="5" s="1"/>
  <c r="D189" i="5" s="1"/>
  <c r="D190" i="5" s="1"/>
  <c r="D191" i="5" s="1"/>
  <c r="D192" i="5" s="1"/>
  <c r="D193" i="5" s="1"/>
  <c r="D194" i="5" s="1"/>
  <c r="Q196" i="5"/>
  <c r="Q181" i="5"/>
  <c r="Q182" i="5" s="1"/>
  <c r="Q183" i="5" s="1"/>
  <c r="Q184" i="5" s="1"/>
  <c r="Q185" i="5" s="1"/>
  <c r="Q186" i="5" s="1"/>
  <c r="Q187" i="5" s="1"/>
  <c r="Q188" i="5" s="1"/>
  <c r="Q189" i="5" s="1"/>
  <c r="Q190" i="5" s="1"/>
  <c r="Q191" i="5" s="1"/>
  <c r="Q192" i="5" s="1"/>
  <c r="Q193" i="5" s="1"/>
  <c r="Q194" i="5" s="1"/>
  <c r="K196" i="5"/>
  <c r="K181" i="5"/>
  <c r="K182" i="5" s="1"/>
  <c r="K183" i="5" s="1"/>
  <c r="K184" i="5" s="1"/>
  <c r="K185" i="5" s="1"/>
  <c r="K186" i="5" s="1"/>
  <c r="K187" i="5" s="1"/>
  <c r="K188" i="5" s="1"/>
  <c r="K189" i="5" s="1"/>
  <c r="K190" i="5" s="1"/>
  <c r="K191" i="5" s="1"/>
  <c r="K192" i="5" s="1"/>
  <c r="K193" i="5" s="1"/>
  <c r="K194" i="5" s="1"/>
  <c r="M196" i="5"/>
  <c r="M181" i="5"/>
  <c r="M182" i="5" s="1"/>
  <c r="M183" i="5" s="1"/>
  <c r="M184" i="5" s="1"/>
  <c r="M185" i="5" s="1"/>
  <c r="M186" i="5" s="1"/>
  <c r="M187" i="5" s="1"/>
  <c r="M188" i="5" s="1"/>
  <c r="M189" i="5" s="1"/>
  <c r="M190" i="5" s="1"/>
  <c r="M191" i="5" s="1"/>
  <c r="M192" i="5" s="1"/>
  <c r="M193" i="5" s="1"/>
  <c r="M194" i="5" s="1"/>
  <c r="C181" i="5"/>
  <c r="C182" i="5" s="1"/>
  <c r="C183" i="5" s="1"/>
  <c r="C184" i="5" s="1"/>
  <c r="C185" i="5" s="1"/>
  <c r="C186" i="5" s="1"/>
  <c r="C187" i="5" s="1"/>
  <c r="C188" i="5" s="1"/>
  <c r="C189" i="5" s="1"/>
  <c r="C190" i="5" s="1"/>
  <c r="C191" i="5" s="1"/>
  <c r="C192" i="5" s="1"/>
  <c r="C193" i="5" s="1"/>
  <c r="C194" i="5" s="1"/>
  <c r="C196" i="5"/>
  <c r="I196" i="5"/>
  <c r="I181" i="5"/>
  <c r="I182" i="5" s="1"/>
  <c r="I183" i="5" s="1"/>
  <c r="I184" i="5" s="1"/>
  <c r="I185" i="5" s="1"/>
  <c r="I186" i="5" s="1"/>
  <c r="I187" i="5" s="1"/>
  <c r="I188" i="5" s="1"/>
  <c r="I189" i="5" s="1"/>
  <c r="I190" i="5" s="1"/>
  <c r="I191" i="5" s="1"/>
  <c r="I192" i="5" s="1"/>
  <c r="I193" i="5" s="1"/>
  <c r="I194" i="5" s="1"/>
  <c r="E706" i="1" l="1"/>
  <c r="I211" i="5"/>
  <c r="I197" i="5"/>
  <c r="I198" i="5" s="1"/>
  <c r="I199" i="5" s="1"/>
  <c r="I200" i="5" s="1"/>
  <c r="I201" i="5" s="1"/>
  <c r="I202" i="5" s="1"/>
  <c r="I203" i="5" s="1"/>
  <c r="I204" i="5" s="1"/>
  <c r="I205" i="5" s="1"/>
  <c r="I206" i="5" s="1"/>
  <c r="I207" i="5" s="1"/>
  <c r="I208" i="5" s="1"/>
  <c r="I209" i="5" s="1"/>
  <c r="Q211" i="5"/>
  <c r="Q197" i="5"/>
  <c r="Q198" i="5" s="1"/>
  <c r="Q199" i="5" s="1"/>
  <c r="Q200" i="5" s="1"/>
  <c r="Q201" i="5" s="1"/>
  <c r="Q202" i="5" s="1"/>
  <c r="Q203" i="5" s="1"/>
  <c r="Q204" i="5" s="1"/>
  <c r="Q205" i="5" s="1"/>
  <c r="Q206" i="5" s="1"/>
  <c r="Q207" i="5" s="1"/>
  <c r="Q208" i="5" s="1"/>
  <c r="Q209" i="5" s="1"/>
  <c r="C197" i="5"/>
  <c r="C198" i="5" s="1"/>
  <c r="C199" i="5" s="1"/>
  <c r="C200" i="5" s="1"/>
  <c r="C201" i="5" s="1"/>
  <c r="C202" i="5" s="1"/>
  <c r="C203" i="5" s="1"/>
  <c r="C204" i="5" s="1"/>
  <c r="C205" i="5" s="1"/>
  <c r="C206" i="5" s="1"/>
  <c r="C207" i="5" s="1"/>
  <c r="C208" i="5" s="1"/>
  <c r="C209" i="5" s="1"/>
  <c r="C211" i="5"/>
  <c r="K211" i="5"/>
  <c r="K197" i="5"/>
  <c r="K198" i="5" s="1"/>
  <c r="K199" i="5" s="1"/>
  <c r="K200" i="5" s="1"/>
  <c r="K201" i="5" s="1"/>
  <c r="K202" i="5" s="1"/>
  <c r="K203" i="5" s="1"/>
  <c r="K204" i="5" s="1"/>
  <c r="K205" i="5" s="1"/>
  <c r="K206" i="5" s="1"/>
  <c r="K207" i="5" s="1"/>
  <c r="K208" i="5" s="1"/>
  <c r="K209" i="5" s="1"/>
  <c r="D197" i="5"/>
  <c r="D198" i="5" s="1"/>
  <c r="D199" i="5" s="1"/>
  <c r="D200" i="5" s="1"/>
  <c r="D201" i="5" s="1"/>
  <c r="D202" i="5" s="1"/>
  <c r="D203" i="5" s="1"/>
  <c r="D204" i="5" s="1"/>
  <c r="D205" i="5" s="1"/>
  <c r="D206" i="5" s="1"/>
  <c r="D207" i="5" s="1"/>
  <c r="D208" i="5" s="1"/>
  <c r="D209" i="5" s="1"/>
  <c r="D211" i="5"/>
  <c r="E197" i="5"/>
  <c r="E198" i="5" s="1"/>
  <c r="E199" i="5" s="1"/>
  <c r="E200" i="5" s="1"/>
  <c r="E201" i="5" s="1"/>
  <c r="E202" i="5" s="1"/>
  <c r="E203" i="5" s="1"/>
  <c r="E204" i="5" s="1"/>
  <c r="E205" i="5" s="1"/>
  <c r="E206" i="5" s="1"/>
  <c r="E207" i="5" s="1"/>
  <c r="E208" i="5" s="1"/>
  <c r="E209" i="5" s="1"/>
  <c r="E211" i="5"/>
  <c r="O211" i="5"/>
  <c r="O197" i="5"/>
  <c r="O198" i="5" s="1"/>
  <c r="O199" i="5" s="1"/>
  <c r="O200" i="5" s="1"/>
  <c r="O201" i="5" s="1"/>
  <c r="O202" i="5" s="1"/>
  <c r="O203" i="5" s="1"/>
  <c r="O204" i="5" s="1"/>
  <c r="O205" i="5" s="1"/>
  <c r="O206" i="5" s="1"/>
  <c r="O207" i="5" s="1"/>
  <c r="O208" i="5" s="1"/>
  <c r="O209" i="5" s="1"/>
  <c r="J754" i="1"/>
  <c r="L754" i="1"/>
  <c r="E896" i="1"/>
  <c r="E1031" i="1" s="1"/>
  <c r="E1164" i="1" s="1"/>
  <c r="E1241" i="1" s="1"/>
  <c r="E1358" i="1" s="1"/>
  <c r="E1470" i="1" s="1"/>
  <c r="E1579" i="1" s="1"/>
  <c r="E1644" i="1" s="1"/>
  <c r="E1706" i="1" s="1"/>
  <c r="E1761" i="1" s="1"/>
  <c r="E1807" i="1" s="1"/>
  <c r="H758" i="1"/>
  <c r="A791" i="1" s="1"/>
  <c r="K754" i="1"/>
  <c r="P211" i="5"/>
  <c r="P197" i="5"/>
  <c r="P198" i="5" s="1"/>
  <c r="P199" i="5" s="1"/>
  <c r="P200" i="5" s="1"/>
  <c r="P201" i="5" s="1"/>
  <c r="P202" i="5" s="1"/>
  <c r="P203" i="5" s="1"/>
  <c r="P204" i="5" s="1"/>
  <c r="P205" i="5" s="1"/>
  <c r="P206" i="5" s="1"/>
  <c r="P207" i="5" s="1"/>
  <c r="P208" i="5" s="1"/>
  <c r="P209" i="5" s="1"/>
  <c r="M211" i="5"/>
  <c r="M197" i="5"/>
  <c r="M198" i="5" s="1"/>
  <c r="M199" i="5" s="1"/>
  <c r="M200" i="5" s="1"/>
  <c r="M201" i="5" s="1"/>
  <c r="M202" i="5" s="1"/>
  <c r="M203" i="5" s="1"/>
  <c r="M204" i="5" s="1"/>
  <c r="M205" i="5" s="1"/>
  <c r="M206" i="5" s="1"/>
  <c r="M207" i="5" s="1"/>
  <c r="M208" i="5" s="1"/>
  <c r="M209" i="5" s="1"/>
  <c r="N211" i="5"/>
  <c r="N197" i="5"/>
  <c r="N198" i="5" s="1"/>
  <c r="N199" i="5" s="1"/>
  <c r="N200" i="5" s="1"/>
  <c r="N201" i="5" s="1"/>
  <c r="N202" i="5" s="1"/>
  <c r="N203" i="5" s="1"/>
  <c r="N204" i="5" s="1"/>
  <c r="N205" i="5" s="1"/>
  <c r="N206" i="5" s="1"/>
  <c r="N207" i="5" s="1"/>
  <c r="N208" i="5" s="1"/>
  <c r="N209" i="5" s="1"/>
  <c r="H211" i="5"/>
  <c r="H197" i="5"/>
  <c r="H198" i="5" s="1"/>
  <c r="H199" i="5" s="1"/>
  <c r="H200" i="5" s="1"/>
  <c r="H201" i="5" s="1"/>
  <c r="H202" i="5" s="1"/>
  <c r="H203" i="5" s="1"/>
  <c r="H204" i="5" s="1"/>
  <c r="H205" i="5" s="1"/>
  <c r="H206" i="5" s="1"/>
  <c r="H207" i="5" s="1"/>
  <c r="H208" i="5" s="1"/>
  <c r="H209" i="5" s="1"/>
  <c r="F197" i="5"/>
  <c r="F198" i="5" s="1"/>
  <c r="F199" i="5" s="1"/>
  <c r="F200" i="5" s="1"/>
  <c r="F201" i="5" s="1"/>
  <c r="F202" i="5" s="1"/>
  <c r="F203" i="5" s="1"/>
  <c r="F204" i="5" s="1"/>
  <c r="F205" i="5" s="1"/>
  <c r="F206" i="5" s="1"/>
  <c r="F207" i="5" s="1"/>
  <c r="F208" i="5" s="1"/>
  <c r="F209" i="5" s="1"/>
  <c r="F211" i="5"/>
  <c r="G197" i="5"/>
  <c r="G198" i="5" s="1"/>
  <c r="G199" i="5" s="1"/>
  <c r="G200" i="5" s="1"/>
  <c r="G201" i="5" s="1"/>
  <c r="G202" i="5" s="1"/>
  <c r="G203" i="5" s="1"/>
  <c r="G204" i="5" s="1"/>
  <c r="G205" i="5" s="1"/>
  <c r="G206" i="5" s="1"/>
  <c r="G207" i="5" s="1"/>
  <c r="G208" i="5" s="1"/>
  <c r="G209" i="5" s="1"/>
  <c r="G211" i="5"/>
  <c r="R211" i="5"/>
  <c r="R197" i="5"/>
  <c r="R198" i="5" s="1"/>
  <c r="R199" i="5" s="1"/>
  <c r="R200" i="5" s="1"/>
  <c r="R201" i="5" s="1"/>
  <c r="R202" i="5" s="1"/>
  <c r="R203" i="5" s="1"/>
  <c r="R204" i="5" s="1"/>
  <c r="R205" i="5" s="1"/>
  <c r="R206" i="5" s="1"/>
  <c r="R207" i="5" s="1"/>
  <c r="R208" i="5" s="1"/>
  <c r="R209" i="5" s="1"/>
  <c r="F667" i="1"/>
  <c r="C664" i="1"/>
  <c r="B197" i="5"/>
  <c r="B198" i="5" s="1"/>
  <c r="B199" i="5" s="1"/>
  <c r="B200" i="5" s="1"/>
  <c r="B201" i="5" s="1"/>
  <c r="B202" i="5" s="1"/>
  <c r="B203" i="5" s="1"/>
  <c r="B204" i="5" s="1"/>
  <c r="B205" i="5" s="1"/>
  <c r="B206" i="5" s="1"/>
  <c r="B207" i="5" s="1"/>
  <c r="B208" i="5" s="1"/>
  <c r="B209" i="5" s="1"/>
  <c r="B211" i="5"/>
  <c r="F35" i="6"/>
  <c r="I35" i="6"/>
  <c r="G35" i="6"/>
  <c r="H35" i="6" s="1"/>
  <c r="A703" i="1"/>
  <c r="L211" i="5"/>
  <c r="L197" i="5"/>
  <c r="L198" i="5" s="1"/>
  <c r="L199" i="5" s="1"/>
  <c r="L200" i="5" s="1"/>
  <c r="L201" i="5" s="1"/>
  <c r="L202" i="5" s="1"/>
  <c r="L203" i="5" s="1"/>
  <c r="L204" i="5" s="1"/>
  <c r="L205" i="5" s="1"/>
  <c r="L206" i="5" s="1"/>
  <c r="L207" i="5" s="1"/>
  <c r="L208" i="5" s="1"/>
  <c r="L209" i="5" s="1"/>
  <c r="J197" i="5"/>
  <c r="J198" i="5" s="1"/>
  <c r="J199" i="5" s="1"/>
  <c r="J200" i="5" s="1"/>
  <c r="J201" i="5" s="1"/>
  <c r="J202" i="5" s="1"/>
  <c r="J203" i="5" s="1"/>
  <c r="J204" i="5" s="1"/>
  <c r="J205" i="5" s="1"/>
  <c r="J206" i="5" s="1"/>
  <c r="J207" i="5" s="1"/>
  <c r="J208" i="5" s="1"/>
  <c r="J209" i="5" s="1"/>
  <c r="J211" i="5"/>
  <c r="P243" i="5" l="1"/>
  <c r="P212" i="5"/>
  <c r="P213" i="5" s="1"/>
  <c r="P214" i="5" s="1"/>
  <c r="P215" i="5" s="1"/>
  <c r="P216" i="5" s="1"/>
  <c r="P217" i="5" s="1"/>
  <c r="P218" i="5" s="1"/>
  <c r="P219" i="5" s="1"/>
  <c r="P220" i="5" s="1"/>
  <c r="P221" i="5" s="1"/>
  <c r="P222" i="5" s="1"/>
  <c r="P223" i="5" s="1"/>
  <c r="P224" i="5" s="1"/>
  <c r="P226" i="5"/>
  <c r="E212" i="5"/>
  <c r="E213" i="5" s="1"/>
  <c r="E214" i="5" s="1"/>
  <c r="E215" i="5" s="1"/>
  <c r="E216" i="5" s="1"/>
  <c r="E217" i="5" s="1"/>
  <c r="E218" i="5" s="1"/>
  <c r="E219" i="5" s="1"/>
  <c r="E220" i="5" s="1"/>
  <c r="E221" i="5" s="1"/>
  <c r="E222" i="5" s="1"/>
  <c r="E223" i="5" s="1"/>
  <c r="E224" i="5" s="1"/>
  <c r="E226" i="5"/>
  <c r="E243" i="5"/>
  <c r="J226" i="5"/>
  <c r="J212" i="5"/>
  <c r="J213" i="5" s="1"/>
  <c r="J214" i="5" s="1"/>
  <c r="J215" i="5" s="1"/>
  <c r="J216" i="5" s="1"/>
  <c r="J217" i="5" s="1"/>
  <c r="J218" i="5" s="1"/>
  <c r="J219" i="5" s="1"/>
  <c r="J220" i="5" s="1"/>
  <c r="J221" i="5" s="1"/>
  <c r="J222" i="5" s="1"/>
  <c r="J223" i="5" s="1"/>
  <c r="J224" i="5" s="1"/>
  <c r="J243" i="5"/>
  <c r="G212" i="5"/>
  <c r="G213" i="5" s="1"/>
  <c r="G214" i="5" s="1"/>
  <c r="G215" i="5" s="1"/>
  <c r="G216" i="5" s="1"/>
  <c r="G217" i="5" s="1"/>
  <c r="G218" i="5" s="1"/>
  <c r="G219" i="5" s="1"/>
  <c r="G220" i="5" s="1"/>
  <c r="G221" i="5" s="1"/>
  <c r="G222" i="5" s="1"/>
  <c r="G223" i="5" s="1"/>
  <c r="G224" i="5" s="1"/>
  <c r="G243" i="5"/>
  <c r="G226" i="5"/>
  <c r="K226" i="5"/>
  <c r="K212" i="5"/>
  <c r="K213" i="5" s="1"/>
  <c r="K214" i="5" s="1"/>
  <c r="K215" i="5" s="1"/>
  <c r="K216" i="5" s="1"/>
  <c r="K217" i="5" s="1"/>
  <c r="K218" i="5" s="1"/>
  <c r="K219" i="5" s="1"/>
  <c r="K220" i="5" s="1"/>
  <c r="K221" i="5" s="1"/>
  <c r="K222" i="5" s="1"/>
  <c r="K223" i="5" s="1"/>
  <c r="K224" i="5" s="1"/>
  <c r="K243" i="5"/>
  <c r="Q226" i="5"/>
  <c r="Q243" i="5"/>
  <c r="Q212" i="5"/>
  <c r="Q213" i="5" s="1"/>
  <c r="Q214" i="5" s="1"/>
  <c r="Q215" i="5" s="1"/>
  <c r="Q216" i="5" s="1"/>
  <c r="Q217" i="5" s="1"/>
  <c r="Q218" i="5" s="1"/>
  <c r="Q219" i="5" s="1"/>
  <c r="Q220" i="5" s="1"/>
  <c r="Q221" i="5" s="1"/>
  <c r="Q222" i="5" s="1"/>
  <c r="Q223" i="5" s="1"/>
  <c r="Q224" i="5" s="1"/>
  <c r="F672" i="1"/>
  <c r="C666" i="1"/>
  <c r="G667" i="1"/>
  <c r="H243" i="5"/>
  <c r="H212" i="5"/>
  <c r="H213" i="5" s="1"/>
  <c r="H214" i="5" s="1"/>
  <c r="H215" i="5" s="1"/>
  <c r="H216" i="5" s="1"/>
  <c r="H217" i="5" s="1"/>
  <c r="H218" i="5" s="1"/>
  <c r="H219" i="5" s="1"/>
  <c r="H220" i="5" s="1"/>
  <c r="H221" i="5" s="1"/>
  <c r="H222" i="5" s="1"/>
  <c r="H223" i="5" s="1"/>
  <c r="H224" i="5" s="1"/>
  <c r="H226" i="5"/>
  <c r="M243" i="5"/>
  <c r="M212" i="5"/>
  <c r="M213" i="5" s="1"/>
  <c r="M214" i="5" s="1"/>
  <c r="M215" i="5" s="1"/>
  <c r="M216" i="5" s="1"/>
  <c r="M217" i="5" s="1"/>
  <c r="M218" i="5" s="1"/>
  <c r="M219" i="5" s="1"/>
  <c r="M220" i="5" s="1"/>
  <c r="M221" i="5" s="1"/>
  <c r="M222" i="5" s="1"/>
  <c r="M223" i="5" s="1"/>
  <c r="M224" i="5" s="1"/>
  <c r="M226" i="5"/>
  <c r="D243" i="5"/>
  <c r="D226" i="5"/>
  <c r="D212" i="5"/>
  <c r="D213" i="5" s="1"/>
  <c r="D214" i="5" s="1"/>
  <c r="D215" i="5" s="1"/>
  <c r="D216" i="5" s="1"/>
  <c r="D217" i="5" s="1"/>
  <c r="D218" i="5" s="1"/>
  <c r="D219" i="5" s="1"/>
  <c r="D220" i="5" s="1"/>
  <c r="D221" i="5" s="1"/>
  <c r="D222" i="5" s="1"/>
  <c r="D223" i="5" s="1"/>
  <c r="D224" i="5" s="1"/>
  <c r="C243" i="5"/>
  <c r="C212" i="5"/>
  <c r="C213" i="5" s="1"/>
  <c r="C214" i="5" s="1"/>
  <c r="C215" i="5" s="1"/>
  <c r="C216" i="5" s="1"/>
  <c r="C217" i="5" s="1"/>
  <c r="C218" i="5" s="1"/>
  <c r="C219" i="5" s="1"/>
  <c r="C220" i="5" s="1"/>
  <c r="C221" i="5" s="1"/>
  <c r="C222" i="5" s="1"/>
  <c r="C223" i="5" s="1"/>
  <c r="C224" i="5" s="1"/>
  <c r="C226" i="5"/>
  <c r="L243" i="5"/>
  <c r="L212" i="5"/>
  <c r="L213" i="5" s="1"/>
  <c r="L214" i="5" s="1"/>
  <c r="L215" i="5" s="1"/>
  <c r="L216" i="5" s="1"/>
  <c r="L217" i="5" s="1"/>
  <c r="L218" i="5" s="1"/>
  <c r="L219" i="5" s="1"/>
  <c r="L220" i="5" s="1"/>
  <c r="L221" i="5" s="1"/>
  <c r="L222" i="5" s="1"/>
  <c r="L223" i="5" s="1"/>
  <c r="L224" i="5" s="1"/>
  <c r="L226" i="5"/>
  <c r="R212" i="5"/>
  <c r="R213" i="5" s="1"/>
  <c r="R214" i="5" s="1"/>
  <c r="R215" i="5" s="1"/>
  <c r="R216" i="5" s="1"/>
  <c r="R217" i="5" s="1"/>
  <c r="R218" i="5" s="1"/>
  <c r="R219" i="5" s="1"/>
  <c r="R220" i="5" s="1"/>
  <c r="R221" i="5" s="1"/>
  <c r="R222" i="5" s="1"/>
  <c r="R223" i="5" s="1"/>
  <c r="R224" i="5" s="1"/>
  <c r="R243" i="5"/>
  <c r="R226" i="5"/>
  <c r="N243" i="5"/>
  <c r="N226" i="5"/>
  <c r="N212" i="5"/>
  <c r="N213" i="5" s="1"/>
  <c r="N214" i="5" s="1"/>
  <c r="N215" i="5" s="1"/>
  <c r="N216" i="5" s="1"/>
  <c r="N217" i="5" s="1"/>
  <c r="N218" i="5" s="1"/>
  <c r="N219" i="5" s="1"/>
  <c r="N220" i="5" s="1"/>
  <c r="N221" i="5" s="1"/>
  <c r="N222" i="5" s="1"/>
  <c r="N223" i="5" s="1"/>
  <c r="N224" i="5" s="1"/>
  <c r="B226" i="5"/>
  <c r="B243" i="5"/>
  <c r="B212" i="5"/>
  <c r="B213" i="5" s="1"/>
  <c r="B214" i="5" s="1"/>
  <c r="B215" i="5" s="1"/>
  <c r="B216" i="5" s="1"/>
  <c r="B217" i="5" s="1"/>
  <c r="B218" i="5" s="1"/>
  <c r="B219" i="5" s="1"/>
  <c r="B220" i="5" s="1"/>
  <c r="B221" i="5" s="1"/>
  <c r="B222" i="5" s="1"/>
  <c r="B223" i="5" s="1"/>
  <c r="B224" i="5" s="1"/>
  <c r="F243" i="5"/>
  <c r="F226" i="5"/>
  <c r="F212" i="5"/>
  <c r="F213" i="5" s="1"/>
  <c r="F214" i="5" s="1"/>
  <c r="F215" i="5" s="1"/>
  <c r="F216" i="5" s="1"/>
  <c r="F217" i="5" s="1"/>
  <c r="F218" i="5" s="1"/>
  <c r="F219" i="5" s="1"/>
  <c r="F220" i="5" s="1"/>
  <c r="F221" i="5" s="1"/>
  <c r="F222" i="5" s="1"/>
  <c r="F223" i="5" s="1"/>
  <c r="F224" i="5" s="1"/>
  <c r="O212" i="5"/>
  <c r="O213" i="5" s="1"/>
  <c r="O214" i="5" s="1"/>
  <c r="O215" i="5" s="1"/>
  <c r="O216" i="5" s="1"/>
  <c r="O217" i="5" s="1"/>
  <c r="O218" i="5" s="1"/>
  <c r="O219" i="5" s="1"/>
  <c r="O220" i="5" s="1"/>
  <c r="O221" i="5" s="1"/>
  <c r="O222" i="5" s="1"/>
  <c r="O223" i="5" s="1"/>
  <c r="O224" i="5" s="1"/>
  <c r="O226" i="5"/>
  <c r="O243" i="5"/>
  <c r="I226" i="5"/>
  <c r="I243" i="5"/>
  <c r="I212" i="5"/>
  <c r="I213" i="5" s="1"/>
  <c r="I214" i="5" s="1"/>
  <c r="I215" i="5" s="1"/>
  <c r="I216" i="5" s="1"/>
  <c r="I217" i="5" s="1"/>
  <c r="I218" i="5" s="1"/>
  <c r="I219" i="5" s="1"/>
  <c r="I220" i="5" s="1"/>
  <c r="I221" i="5" s="1"/>
  <c r="I222" i="5" s="1"/>
  <c r="I223" i="5" s="1"/>
  <c r="I224" i="5" s="1"/>
  <c r="O227" i="5" l="1"/>
  <c r="O229" i="5"/>
  <c r="O230" i="5" s="1"/>
  <c r="N229" i="5"/>
  <c r="N230" i="5" s="1"/>
  <c r="N227" i="5"/>
  <c r="C227" i="5"/>
  <c r="C229" i="5"/>
  <c r="C230" i="5" s="1"/>
  <c r="D227" i="5"/>
  <c r="D229" i="5"/>
  <c r="D230" i="5" s="1"/>
  <c r="K227" i="5"/>
  <c r="K229" i="5"/>
  <c r="K230" i="5" s="1"/>
  <c r="A700" i="1"/>
  <c r="P227" i="5"/>
  <c r="P229" i="5"/>
  <c r="P230" i="5" s="1"/>
  <c r="I229" i="5"/>
  <c r="I230" i="5" s="1"/>
  <c r="I227" i="5"/>
  <c r="L229" i="5"/>
  <c r="L230" i="5" s="1"/>
  <c r="L227" i="5"/>
  <c r="H229" i="5"/>
  <c r="H230" i="5" s="1"/>
  <c r="H227" i="5"/>
  <c r="Q227" i="5"/>
  <c r="Q229" i="5"/>
  <c r="Q230" i="5" s="1"/>
  <c r="G227" i="5"/>
  <c r="G229" i="5"/>
  <c r="G230" i="5" s="1"/>
  <c r="F227" i="5"/>
  <c r="F229" i="5"/>
  <c r="F230" i="5" s="1"/>
  <c r="B227" i="5"/>
  <c r="B229" i="5"/>
  <c r="B230" i="5" s="1"/>
  <c r="R227" i="5"/>
  <c r="R229" i="5"/>
  <c r="R230" i="5" s="1"/>
  <c r="M227" i="5"/>
  <c r="M229" i="5"/>
  <c r="M230" i="5" s="1"/>
  <c r="E229" i="5"/>
  <c r="E230" i="5" s="1"/>
  <c r="E227" i="5"/>
  <c r="J227" i="5"/>
  <c r="J229" i="5"/>
  <c r="J230" i="5" s="1"/>
  <c r="A699" i="1"/>
  <c r="D661" i="1" l="1"/>
  <c r="A679" i="1"/>
  <c r="D655" i="1"/>
  <c r="D766" i="1" s="1"/>
  <c r="D912" i="1" s="1"/>
  <c r="D1048" i="1" s="1"/>
  <c r="E651" i="1"/>
  <c r="E762" i="1" s="1"/>
  <c r="E908" i="1" s="1"/>
  <c r="E1044" i="1" s="1"/>
  <c r="E654" i="1"/>
  <c r="E765" i="1" s="1"/>
  <c r="E911" i="1" s="1"/>
  <c r="E1047" i="1" s="1"/>
  <c r="E650" i="1"/>
  <c r="E761" i="1" s="1"/>
  <c r="E907" i="1" s="1"/>
  <c r="E1043" i="1" s="1"/>
  <c r="D649" i="1"/>
  <c r="D760" i="1" s="1"/>
  <c r="D906" i="1" s="1"/>
  <c r="D1042" i="1" s="1"/>
  <c r="D659" i="1"/>
  <c r="D770" i="1" s="1"/>
  <c r="D916" i="1" s="1"/>
  <c r="D1052" i="1" s="1"/>
  <c r="D658" i="1"/>
  <c r="D769" i="1" s="1"/>
  <c r="D915" i="1" s="1"/>
  <c r="D1051" i="1" s="1"/>
  <c r="E657" i="1"/>
  <c r="E768" i="1" s="1"/>
  <c r="E914" i="1" s="1"/>
  <c r="E1050" i="1" s="1"/>
  <c r="E652" i="1"/>
  <c r="E763" i="1" s="1"/>
  <c r="E909" i="1" s="1"/>
  <c r="E1045" i="1" s="1"/>
  <c r="D656" i="1"/>
  <c r="D767" i="1" s="1"/>
  <c r="D913" i="1" s="1"/>
  <c r="D1049" i="1" s="1"/>
  <c r="D648" i="1"/>
  <c r="D759" i="1" s="1"/>
  <c r="E658" i="1"/>
  <c r="E769" i="1" s="1"/>
  <c r="E915" i="1" s="1"/>
  <c r="E1051" i="1" s="1"/>
  <c r="D660" i="1"/>
  <c r="D771" i="1" s="1"/>
  <c r="D917" i="1" s="1"/>
  <c r="D1053" i="1" s="1"/>
  <c r="E659" i="1"/>
  <c r="E770" i="1" s="1"/>
  <c r="E916" i="1" s="1"/>
  <c r="E1052" i="1" s="1"/>
  <c r="D654" i="1"/>
  <c r="D765" i="1" s="1"/>
  <c r="D911" i="1" s="1"/>
  <c r="D1047" i="1" s="1"/>
  <c r="E655" i="1"/>
  <c r="E766" i="1" s="1"/>
  <c r="E912" i="1" s="1"/>
  <c r="E1048" i="1" s="1"/>
  <c r="E656" i="1"/>
  <c r="E767" i="1" s="1"/>
  <c r="E913" i="1" s="1"/>
  <c r="E1049" i="1" s="1"/>
  <c r="D653" i="1"/>
  <c r="D764" i="1" s="1"/>
  <c r="D910" i="1" s="1"/>
  <c r="D1046" i="1" s="1"/>
  <c r="E653" i="1"/>
  <c r="E764" i="1" s="1"/>
  <c r="E910" i="1" s="1"/>
  <c r="E1046" i="1" s="1"/>
  <c r="D651" i="1"/>
  <c r="D762" i="1" s="1"/>
  <c r="D908" i="1" s="1"/>
  <c r="D1044" i="1" s="1"/>
  <c r="E649" i="1"/>
  <c r="E760" i="1" s="1"/>
  <c r="E906" i="1" s="1"/>
  <c r="E1042" i="1" s="1"/>
  <c r="D652" i="1"/>
  <c r="D763" i="1" s="1"/>
  <c r="D909" i="1" s="1"/>
  <c r="D1045" i="1" s="1"/>
  <c r="D650" i="1"/>
  <c r="D761" i="1" s="1"/>
  <c r="D907" i="1" s="1"/>
  <c r="D1043" i="1" s="1"/>
  <c r="E660" i="1"/>
  <c r="E771" i="1" s="1"/>
  <c r="E917" i="1" s="1"/>
  <c r="E1053" i="1" s="1"/>
  <c r="D657" i="1"/>
  <c r="D768" i="1" s="1"/>
  <c r="D914" i="1" s="1"/>
  <c r="D1050" i="1" s="1"/>
  <c r="A671" i="1"/>
  <c r="A674" i="1"/>
  <c r="B676" i="1"/>
  <c r="B669" i="1"/>
  <c r="A667" i="1"/>
  <c r="C667" i="1" s="1"/>
  <c r="D667" i="1" s="1"/>
  <c r="A670" i="1"/>
  <c r="A677" i="1"/>
  <c r="B675" i="1"/>
  <c r="A678" i="1"/>
  <c r="A669" i="1"/>
  <c r="C669" i="1" s="1"/>
  <c r="A673" i="1"/>
  <c r="A675" i="1"/>
  <c r="B677" i="1"/>
  <c r="A676" i="1"/>
  <c r="B668" i="1"/>
  <c r="B670" i="1"/>
  <c r="B671" i="1"/>
  <c r="B672" i="1"/>
  <c r="B673" i="1"/>
  <c r="B667" i="1"/>
  <c r="B678" i="1"/>
  <c r="A668" i="1"/>
  <c r="C668" i="1" s="1"/>
  <c r="A672" i="1"/>
  <c r="B674" i="1"/>
  <c r="C675" i="1" l="1"/>
  <c r="D668" i="1"/>
  <c r="D669" i="1" s="1"/>
  <c r="C670" i="1" s="1"/>
  <c r="C677" i="1"/>
  <c r="B679" i="1"/>
  <c r="F683" i="1" s="1"/>
  <c r="C713" i="1" s="1"/>
  <c r="C674" i="1"/>
  <c r="D772" i="1"/>
  <c r="D918" i="1" s="1"/>
  <c r="D1054" i="1" s="1"/>
  <c r="E661" i="1"/>
  <c r="E772" i="1" s="1"/>
  <c r="E918" i="1" s="1"/>
  <c r="E1054" i="1" s="1"/>
  <c r="D905" i="1"/>
  <c r="D1041" i="1" s="1"/>
  <c r="A267" i="5"/>
  <c r="C678" i="1"/>
  <c r="C676" i="1"/>
  <c r="F680" i="1" l="1"/>
  <c r="G679" i="1" s="1"/>
  <c r="F682" i="1"/>
  <c r="C712" i="1" s="1"/>
  <c r="C679" i="1"/>
  <c r="F684" i="1"/>
  <c r="C714" i="1" s="1"/>
  <c r="F679" i="1"/>
  <c r="D670" i="1"/>
  <c r="C671" i="1" s="1"/>
  <c r="D671" i="1" s="1"/>
  <c r="C672" i="1" s="1"/>
  <c r="D672" i="1" s="1"/>
  <c r="C673" i="1" s="1"/>
  <c r="H694" i="1" l="1"/>
  <c r="E707" i="1" s="1"/>
  <c r="F669" i="1"/>
  <c r="F674" i="1" s="1"/>
  <c r="I694" i="1"/>
  <c r="E708" i="1" s="1"/>
  <c r="D676" i="1"/>
  <c r="E676" i="1" s="1"/>
  <c r="C232" i="5"/>
  <c r="B232" i="5"/>
  <c r="G677" i="1"/>
  <c r="F686" i="1" s="1"/>
  <c r="F687" i="1" s="1"/>
  <c r="D675" i="1"/>
  <c r="E675" i="1" s="1"/>
  <c r="F671" i="1"/>
  <c r="F676" i="1" s="1"/>
  <c r="F668" i="1"/>
  <c r="F670" i="1"/>
  <c r="F675" i="1" s="1"/>
  <c r="F712" i="1" l="1"/>
  <c r="G681" i="1"/>
  <c r="G682" i="1" s="1"/>
  <c r="F681" i="1"/>
  <c r="A702" i="1"/>
  <c r="F673" i="1"/>
  <c r="F677" i="1" s="1"/>
  <c r="J2" i="6"/>
  <c r="G669" i="1"/>
  <c r="B695" i="1" l="1"/>
  <c r="B700" i="1"/>
  <c r="B699" i="1"/>
  <c r="C698" i="1"/>
  <c r="B688" i="1"/>
  <c r="B690" i="1"/>
  <c r="J12" i="6"/>
  <c r="D232" i="5"/>
  <c r="D677" i="1"/>
  <c r="E677" i="1" s="1"/>
  <c r="B683" i="1"/>
  <c r="B686" i="1"/>
  <c r="B685" i="1"/>
  <c r="B693" i="1"/>
  <c r="B684" i="1"/>
  <c r="B682" i="1"/>
  <c r="B689" i="1"/>
  <c r="B694" i="1"/>
  <c r="B687" i="1"/>
  <c r="B691" i="1"/>
  <c r="B692" i="1"/>
  <c r="G686" i="1"/>
  <c r="E698" i="1"/>
  <c r="G687" i="1"/>
  <c r="J7" i="6"/>
  <c r="G672" i="1"/>
  <c r="F769" i="1"/>
  <c r="G673" i="1"/>
  <c r="E678" i="1" l="1"/>
  <c r="D678" i="1"/>
  <c r="D233" i="5"/>
  <c r="L233" i="5"/>
  <c r="K233" i="5"/>
  <c r="C233" i="5"/>
  <c r="E233" i="5"/>
  <c r="H233" i="5"/>
  <c r="N233" i="5"/>
  <c r="M233" i="5"/>
  <c r="P233" i="5"/>
  <c r="I233" i="5"/>
  <c r="Q233" i="5"/>
  <c r="G233" i="5"/>
  <c r="F233" i="5"/>
  <c r="R233" i="5"/>
  <c r="J233" i="5"/>
  <c r="B233" i="5"/>
  <c r="O233" i="5"/>
  <c r="C699" i="1"/>
  <c r="A705" i="1"/>
  <c r="C701" i="1"/>
  <c r="C702" i="1"/>
  <c r="C700" i="1"/>
  <c r="B680" i="1"/>
  <c r="E702" i="1"/>
  <c r="E703" i="1"/>
  <c r="E701" i="1"/>
  <c r="E699" i="1"/>
  <c r="E704" i="1"/>
  <c r="E700" i="1"/>
  <c r="H685" i="1" l="1"/>
  <c r="E679" i="1"/>
  <c r="I685" i="1" l="1"/>
  <c r="B681" i="1" s="1"/>
  <c r="A708" i="1" l="1"/>
  <c r="A704" i="1" s="1"/>
  <c r="C683" i="1"/>
  <c r="C688" i="1"/>
  <c r="C694" i="1"/>
  <c r="C691" i="1"/>
  <c r="C690" i="1"/>
  <c r="C692" i="1"/>
  <c r="C684" i="1"/>
  <c r="C693" i="1"/>
  <c r="C696" i="1"/>
  <c r="C686" i="1"/>
  <c r="C687" i="1"/>
  <c r="C682" i="1"/>
  <c r="C689" i="1"/>
  <c r="C685" i="1"/>
  <c r="C695" i="1"/>
  <c r="B708" i="1" l="1"/>
  <c r="C680" i="1"/>
  <c r="D699" i="1"/>
  <c r="D700" i="1"/>
  <c r="D702" i="1"/>
  <c r="D701" i="1"/>
  <c r="H686" i="1" l="1"/>
  <c r="I686" i="1" l="1"/>
  <c r="C681" i="1" s="1"/>
  <c r="A709" i="1" l="1"/>
  <c r="A706" i="1" s="1"/>
  <c r="D684" i="1"/>
  <c r="D690" i="1"/>
  <c r="D695" i="1"/>
  <c r="D691" i="1"/>
  <c r="D688" i="1"/>
  <c r="D696" i="1"/>
  <c r="D694" i="1"/>
  <c r="D687" i="1"/>
  <c r="D682" i="1"/>
  <c r="D693" i="1"/>
  <c r="D686" i="1"/>
  <c r="D683" i="1"/>
  <c r="D685" i="1"/>
  <c r="D692" i="1"/>
  <c r="D689" i="1"/>
  <c r="B709" i="1" l="1"/>
  <c r="F700" i="1"/>
  <c r="F703" i="1"/>
  <c r="F701" i="1"/>
  <c r="F699" i="1"/>
  <c r="F702" i="1"/>
  <c r="F704" i="1"/>
  <c r="C703" i="1"/>
  <c r="C705" i="1"/>
  <c r="D680" i="1"/>
  <c r="H687" i="1" s="1"/>
  <c r="C706" i="1"/>
  <c r="C704" i="1"/>
  <c r="I687" i="1" l="1"/>
  <c r="F691" i="1" l="1"/>
  <c r="F692" i="1" s="1"/>
  <c r="A710" i="1"/>
  <c r="B710" i="1" s="1"/>
  <c r="D681" i="1"/>
  <c r="B711" i="1" l="1"/>
  <c r="D706" i="1" s="1"/>
  <c r="G689" i="1"/>
  <c r="G690" i="1" s="1"/>
  <c r="G691" i="1" s="1"/>
  <c r="D704" i="1" l="1"/>
  <c r="D705" i="1"/>
  <c r="C708" i="1"/>
  <c r="G695" i="1" s="1"/>
  <c r="E709" i="1" s="1"/>
  <c r="D703" i="1"/>
  <c r="C709" i="1"/>
  <c r="C710" i="1"/>
  <c r="H695" i="1" l="1"/>
  <c r="E710" i="1" s="1"/>
  <c r="I695" i="1"/>
  <c r="E711" i="1" s="1"/>
  <c r="H699" i="1" s="1"/>
  <c r="H701" i="1" l="1"/>
  <c r="H703" i="1"/>
  <c r="D712" i="1" s="1"/>
  <c r="E685" i="1"/>
  <c r="H700" i="1"/>
  <c r="E693" i="1"/>
  <c r="E687" i="1"/>
  <c r="H698" i="1"/>
  <c r="E690" i="1"/>
  <c r="E682" i="1"/>
  <c r="E694" i="1"/>
  <c r="H702" i="1"/>
  <c r="E688" i="1"/>
  <c r="E683" i="1"/>
  <c r="E689" i="1"/>
  <c r="E686" i="1"/>
  <c r="E695" i="1"/>
  <c r="E684" i="1"/>
  <c r="E691" i="1"/>
  <c r="E692" i="1"/>
  <c r="D714" i="1" l="1"/>
  <c r="F748" i="1"/>
  <c r="E897" i="1" s="1"/>
  <c r="E1033" i="1" s="1"/>
  <c r="E1166" i="1" s="1"/>
  <c r="E1243" i="1" s="1"/>
  <c r="E1360" i="1" s="1"/>
  <c r="E1472" i="1" s="1"/>
  <c r="E1582" i="1" s="1"/>
  <c r="E1647" i="1" s="1"/>
  <c r="E1709" i="1" s="1"/>
  <c r="E1764" i="1" s="1"/>
  <c r="E1810" i="1" s="1"/>
  <c r="G704" i="1"/>
  <c r="J15" i="6"/>
  <c r="A234" i="5"/>
  <c r="B234" i="5" s="1"/>
  <c r="G707" i="1"/>
  <c r="D713" i="1"/>
  <c r="H696" i="1"/>
  <c r="H234" i="5" l="1"/>
  <c r="D234" i="5"/>
  <c r="E234" i="5"/>
  <c r="J755" i="1"/>
  <c r="O234" i="5"/>
  <c r="F234" i="5"/>
  <c r="I234" i="5"/>
  <c r="Q234" i="5"/>
  <c r="G234" i="5"/>
  <c r="P234" i="5"/>
  <c r="L234" i="5"/>
  <c r="L755" i="1"/>
  <c r="K755" i="1"/>
  <c r="J234" i="5"/>
  <c r="C234" i="5"/>
  <c r="N234" i="5"/>
  <c r="R234" i="5"/>
  <c r="M234" i="5"/>
  <c r="K234" i="5"/>
  <c r="A235" i="5" l="1"/>
  <c r="A236" i="5" s="1"/>
  <c r="G708" i="1" s="1"/>
  <c r="G714" i="1" l="1"/>
  <c r="B35" i="6" s="1"/>
  <c r="G709" i="1"/>
  <c r="G710" i="1" s="1"/>
  <c r="G713" i="1" s="1"/>
  <c r="A245" i="5" s="1"/>
  <c r="A246" i="5" l="1"/>
  <c r="I717" i="1"/>
  <c r="F728" i="1" s="1"/>
  <c r="G712" i="1"/>
  <c r="G717" i="1" s="1"/>
  <c r="B238" i="5" s="1"/>
  <c r="H717" i="1"/>
  <c r="C238" i="5" s="1"/>
  <c r="B34" i="6"/>
  <c r="E736" i="1" l="1"/>
  <c r="E742" i="1" s="1"/>
  <c r="F722" i="1"/>
  <c r="F729" i="1"/>
  <c r="D238" i="5"/>
  <c r="D239" i="5" s="1"/>
  <c r="D240" i="5" s="1"/>
  <c r="F727" i="1"/>
  <c r="F724" i="1"/>
  <c r="F723" i="1"/>
  <c r="F721" i="1"/>
  <c r="F726" i="1"/>
  <c r="F725" i="1"/>
  <c r="D732" i="1"/>
  <c r="E735" i="1"/>
  <c r="E741" i="1" s="1"/>
  <c r="B33" i="6"/>
  <c r="D725" i="1"/>
  <c r="D721" i="1"/>
  <c r="D729" i="1"/>
  <c r="D723" i="1"/>
  <c r="E734" i="1"/>
  <c r="E740" i="1" s="1"/>
  <c r="J17" i="6"/>
  <c r="D719" i="1"/>
  <c r="D731" i="1"/>
  <c r="D724" i="1"/>
  <c r="D720" i="1"/>
  <c r="D727" i="1"/>
  <c r="D730" i="1"/>
  <c r="D722" i="1"/>
  <c r="D726" i="1"/>
  <c r="A244" i="5"/>
  <c r="G244" i="5" s="1"/>
  <c r="G245" i="5" s="1"/>
  <c r="G246" i="5" s="1"/>
  <c r="G247" i="5" s="1"/>
  <c r="D728" i="1"/>
  <c r="F239" i="5" l="1"/>
  <c r="F240" i="5" s="1"/>
  <c r="M239" i="5"/>
  <c r="M240" i="5" s="1"/>
  <c r="G239" i="5"/>
  <c r="G240" i="5" s="1"/>
  <c r="I239" i="5"/>
  <c r="I240" i="5" s="1"/>
  <c r="J239" i="5"/>
  <c r="J240" i="5" s="1"/>
  <c r="N239" i="5"/>
  <c r="N240" i="5" s="1"/>
  <c r="H239" i="5"/>
  <c r="H240" i="5" s="1"/>
  <c r="P239" i="5"/>
  <c r="P240" i="5" s="1"/>
  <c r="C239" i="5"/>
  <c r="C240" i="5" s="1"/>
  <c r="R239" i="5"/>
  <c r="R240" i="5" s="1"/>
  <c r="Q239" i="5"/>
  <c r="Q240" i="5" s="1"/>
  <c r="L239" i="5"/>
  <c r="L240" i="5" s="1"/>
  <c r="B239" i="5"/>
  <c r="B240" i="5" s="1"/>
  <c r="E239" i="5"/>
  <c r="E240" i="5" s="1"/>
  <c r="O239" i="5"/>
  <c r="O240" i="5" s="1"/>
  <c r="K239" i="5"/>
  <c r="K240" i="5" s="1"/>
  <c r="E731" i="1"/>
  <c r="F731" i="1" s="1"/>
  <c r="D244" i="5"/>
  <c r="D245" i="5" s="1"/>
  <c r="D246" i="5" s="1"/>
  <c r="D247" i="5" s="1"/>
  <c r="C244" i="5"/>
  <c r="C245" i="5" s="1"/>
  <c r="C246" i="5" s="1"/>
  <c r="F244" i="5"/>
  <c r="F245" i="5" s="1"/>
  <c r="F246" i="5" s="1"/>
  <c r="E244" i="5"/>
  <c r="E245" i="5" s="1"/>
  <c r="E246" i="5" s="1"/>
  <c r="P244" i="5"/>
  <c r="P245" i="5" s="1"/>
  <c r="P246" i="5" s="1"/>
  <c r="B244" i="5"/>
  <c r="B245" i="5" s="1"/>
  <c r="B246" i="5" s="1"/>
  <c r="L244" i="5"/>
  <c r="L245" i="5" s="1"/>
  <c r="L246" i="5" s="1"/>
  <c r="M244" i="5"/>
  <c r="H244" i="5"/>
  <c r="H245" i="5" s="1"/>
  <c r="H246" i="5" s="1"/>
  <c r="E727" i="1"/>
  <c r="K244" i="5"/>
  <c r="K245" i="5" s="1"/>
  <c r="K246" i="5" s="1"/>
  <c r="K247" i="5" s="1"/>
  <c r="I244" i="5"/>
  <c r="I245" i="5" s="1"/>
  <c r="I246" i="5" s="1"/>
  <c r="J244" i="5"/>
  <c r="J245" i="5" s="1"/>
  <c r="J246" i="5" s="1"/>
  <c r="E723" i="1"/>
  <c r="E721" i="1"/>
  <c r="E722" i="1"/>
  <c r="R244" i="5"/>
  <c r="R245" i="5" s="1"/>
  <c r="R246" i="5" s="1"/>
  <c r="R247" i="5" s="1"/>
  <c r="Q244" i="5"/>
  <c r="O244" i="5"/>
  <c r="N244" i="5"/>
  <c r="N245" i="5" s="1"/>
  <c r="N246" i="5" s="1"/>
  <c r="N247" i="5" s="1"/>
  <c r="C734" i="1"/>
  <c r="E730" i="1" s="1"/>
  <c r="F730" i="1" s="1"/>
  <c r="E729" i="1"/>
  <c r="E728" i="1"/>
  <c r="E724" i="1"/>
  <c r="E726" i="1"/>
  <c r="E725" i="1"/>
  <c r="D241" i="5" l="1"/>
  <c r="E241" i="5" s="1"/>
  <c r="G241" i="5" s="1"/>
  <c r="B241" i="5"/>
  <c r="C241" i="5"/>
  <c r="C247" i="5"/>
  <c r="L247" i="5"/>
  <c r="E247" i="5"/>
  <c r="I247" i="5"/>
  <c r="P247" i="5"/>
  <c r="F247" i="5"/>
  <c r="J247" i="5"/>
  <c r="B247" i="5"/>
  <c r="H247" i="5"/>
  <c r="M245" i="5"/>
  <c r="M246" i="5" s="1"/>
  <c r="O245" i="5"/>
  <c r="O246" i="5" s="1"/>
  <c r="Q245" i="5"/>
  <c r="Q246" i="5" s="1"/>
  <c r="F241" i="5" l="1"/>
  <c r="A241" i="5" s="1"/>
  <c r="D717" i="1" s="1"/>
  <c r="E717" i="1" s="1"/>
  <c r="G720" i="1" s="1"/>
  <c r="M247" i="5"/>
  <c r="Q247" i="5"/>
  <c r="O247" i="5"/>
  <c r="G721" i="1" l="1"/>
  <c r="G722" i="1" s="1"/>
  <c r="G723" i="1" s="1"/>
  <c r="G724" i="1" s="1"/>
  <c r="G719" i="1"/>
  <c r="C745" i="1"/>
  <c r="C893" i="1" s="1"/>
  <c r="H722" i="1" l="1"/>
  <c r="G742" i="1"/>
  <c r="H721" i="1"/>
  <c r="H723" i="1"/>
  <c r="G725" i="1"/>
  <c r="H724" i="1"/>
  <c r="G726" i="1" l="1"/>
  <c r="H725" i="1"/>
  <c r="G727" i="1" l="1"/>
  <c r="H726" i="1"/>
  <c r="H727" i="1" l="1"/>
  <c r="G728" i="1"/>
  <c r="G729" i="1" l="1"/>
  <c r="H728" i="1"/>
  <c r="H729" i="1" l="1"/>
  <c r="G730" i="1"/>
  <c r="H730" i="1" l="1"/>
  <c r="G731" i="1"/>
  <c r="H731" i="1" s="1"/>
  <c r="F734" i="1" l="1"/>
  <c r="F735" i="1"/>
  <c r="F736" i="1"/>
  <c r="F737" i="1" l="1"/>
  <c r="F738" i="1"/>
  <c r="F739" i="1"/>
  <c r="E737" i="1" l="1"/>
  <c r="G732" i="1" s="1"/>
  <c r="B32" i="6" s="1"/>
  <c r="G733" i="1" l="1"/>
  <c r="G734" i="1" s="1"/>
  <c r="E738" i="1"/>
  <c r="H734" i="1" l="1"/>
  <c r="F742" i="1" s="1"/>
  <c r="F740" i="1" l="1"/>
  <c r="F741" i="1"/>
  <c r="F745" i="1" l="1"/>
  <c r="F743" i="1"/>
  <c r="F744" i="1"/>
  <c r="G740" i="1"/>
  <c r="G741" i="1"/>
  <c r="I753" i="1" s="1"/>
  <c r="G744" i="1" l="1"/>
  <c r="I754" i="1"/>
  <c r="I899" i="1"/>
  <c r="I1034" i="1" s="1"/>
  <c r="I755" i="1"/>
  <c r="G736" i="1"/>
  <c r="G737" i="1" s="1"/>
  <c r="G738" i="1" s="1"/>
  <c r="A249" i="5"/>
  <c r="A746" i="1"/>
  <c r="J39" i="6"/>
  <c r="J40" i="6" s="1"/>
  <c r="F771" i="1"/>
  <c r="I1167" i="1" l="1"/>
  <c r="I1246" i="1" s="1"/>
  <c r="I1362" i="1" s="1"/>
  <c r="I1474" i="1" s="1"/>
  <c r="I1583" i="1" s="1"/>
  <c r="I1648" i="1" s="1"/>
  <c r="I1710" i="1" s="1"/>
  <c r="I1765" i="1" s="1"/>
  <c r="I1811" i="1" s="1"/>
  <c r="I1889" i="1" s="1"/>
  <c r="E34" i="6"/>
  <c r="K34" i="6" s="1"/>
  <c r="G747" i="1"/>
  <c r="A862" i="1"/>
  <c r="A747" i="1"/>
  <c r="A760" i="1" s="1"/>
  <c r="A829" i="1"/>
  <c r="L249" i="5"/>
  <c r="I249" i="5"/>
  <c r="P249" i="5"/>
  <c r="B249" i="5"/>
  <c r="M249" i="5"/>
  <c r="E249" i="5"/>
  <c r="F249" i="5"/>
  <c r="C249" i="5"/>
  <c r="J249" i="5"/>
  <c r="D249" i="5"/>
  <c r="G249" i="5"/>
  <c r="N249" i="5"/>
  <c r="H249" i="5"/>
  <c r="R249" i="5"/>
  <c r="O249" i="5"/>
  <c r="K249" i="5"/>
  <c r="Q249" i="5"/>
  <c r="F34" i="6" l="1"/>
  <c r="J34" i="6"/>
  <c r="G34" i="6"/>
  <c r="H34" i="6" s="1"/>
  <c r="I34" i="6" s="1"/>
  <c r="G250" i="5"/>
  <c r="G251" i="5" s="1"/>
  <c r="G252" i="5" s="1"/>
  <c r="G253" i="5" s="1"/>
  <c r="G254" i="5" s="1"/>
  <c r="G255" i="5" s="1"/>
  <c r="G256" i="5" s="1"/>
  <c r="G257" i="5" s="1"/>
  <c r="G258" i="5" s="1"/>
  <c r="G259" i="5" s="1"/>
  <c r="G260" i="5" s="1"/>
  <c r="G261" i="5" s="1"/>
  <c r="G280" i="5"/>
  <c r="G263" i="5"/>
  <c r="G266" i="5" s="1"/>
  <c r="G267" i="5" s="1"/>
  <c r="R263" i="5"/>
  <c r="R266" i="5" s="1"/>
  <c r="R267" i="5" s="1"/>
  <c r="R280" i="5"/>
  <c r="R250" i="5"/>
  <c r="R251" i="5" s="1"/>
  <c r="R252" i="5" s="1"/>
  <c r="R253" i="5" s="1"/>
  <c r="R254" i="5" s="1"/>
  <c r="R255" i="5" s="1"/>
  <c r="R256" i="5" s="1"/>
  <c r="R257" i="5" s="1"/>
  <c r="R258" i="5" s="1"/>
  <c r="R259" i="5" s="1"/>
  <c r="R260" i="5" s="1"/>
  <c r="R261" i="5" s="1"/>
  <c r="D280" i="5"/>
  <c r="D250" i="5"/>
  <c r="D251" i="5" s="1"/>
  <c r="D252" i="5" s="1"/>
  <c r="D253" i="5" s="1"/>
  <c r="D254" i="5" s="1"/>
  <c r="D255" i="5" s="1"/>
  <c r="D256" i="5" s="1"/>
  <c r="D257" i="5" s="1"/>
  <c r="D258" i="5" s="1"/>
  <c r="D259" i="5" s="1"/>
  <c r="D260" i="5" s="1"/>
  <c r="D261" i="5" s="1"/>
  <c r="D263" i="5"/>
  <c r="D266" i="5" s="1"/>
  <c r="D267" i="5" s="1"/>
  <c r="E280" i="5"/>
  <c r="E263" i="5"/>
  <c r="E266" i="5" s="1"/>
  <c r="E267" i="5" s="1"/>
  <c r="E250" i="5"/>
  <c r="E251" i="5" s="1"/>
  <c r="E252" i="5" s="1"/>
  <c r="E253" i="5" s="1"/>
  <c r="E254" i="5" s="1"/>
  <c r="E255" i="5" s="1"/>
  <c r="E256" i="5" s="1"/>
  <c r="E257" i="5" s="1"/>
  <c r="E258" i="5" s="1"/>
  <c r="E259" i="5" s="1"/>
  <c r="E260" i="5" s="1"/>
  <c r="E261" i="5" s="1"/>
  <c r="I263" i="5"/>
  <c r="I266" i="5" s="1"/>
  <c r="I267" i="5" s="1"/>
  <c r="I280" i="5"/>
  <c r="I250" i="5"/>
  <c r="I251" i="5" s="1"/>
  <c r="I252" i="5" s="1"/>
  <c r="I253" i="5" s="1"/>
  <c r="I254" i="5" s="1"/>
  <c r="I255" i="5" s="1"/>
  <c r="I256" i="5" s="1"/>
  <c r="I257" i="5" s="1"/>
  <c r="I258" i="5" s="1"/>
  <c r="I259" i="5" s="1"/>
  <c r="I260" i="5" s="1"/>
  <c r="I261" i="5" s="1"/>
  <c r="A863" i="1"/>
  <c r="H747" i="1"/>
  <c r="A830" i="1"/>
  <c r="A748" i="1"/>
  <c r="A761" i="1" s="1"/>
  <c r="O263" i="5"/>
  <c r="O266" i="5" s="1"/>
  <c r="O267" i="5" s="1"/>
  <c r="O280" i="5"/>
  <c r="O250" i="5"/>
  <c r="O251" i="5" s="1"/>
  <c r="O252" i="5" s="1"/>
  <c r="O253" i="5" s="1"/>
  <c r="O254" i="5" s="1"/>
  <c r="O255" i="5" s="1"/>
  <c r="O256" i="5" s="1"/>
  <c r="O257" i="5" s="1"/>
  <c r="O258" i="5" s="1"/>
  <c r="O259" i="5" s="1"/>
  <c r="O260" i="5" s="1"/>
  <c r="O261" i="5" s="1"/>
  <c r="P263" i="5"/>
  <c r="P266" i="5" s="1"/>
  <c r="P267" i="5" s="1"/>
  <c r="P280" i="5"/>
  <c r="P250" i="5"/>
  <c r="P251" i="5" s="1"/>
  <c r="P252" i="5" s="1"/>
  <c r="P253" i="5" s="1"/>
  <c r="P254" i="5" s="1"/>
  <c r="P255" i="5" s="1"/>
  <c r="P256" i="5" s="1"/>
  <c r="P257" i="5" s="1"/>
  <c r="P258" i="5" s="1"/>
  <c r="P259" i="5" s="1"/>
  <c r="P260" i="5" s="1"/>
  <c r="P261" i="5" s="1"/>
  <c r="Q280" i="5"/>
  <c r="Q263" i="5"/>
  <c r="Q266" i="5" s="1"/>
  <c r="Q267" i="5" s="1"/>
  <c r="Q250" i="5"/>
  <c r="Q251" i="5" s="1"/>
  <c r="Q252" i="5" s="1"/>
  <c r="Q253" i="5" s="1"/>
  <c r="Q254" i="5" s="1"/>
  <c r="Q255" i="5" s="1"/>
  <c r="Q256" i="5" s="1"/>
  <c r="Q257" i="5" s="1"/>
  <c r="Q258" i="5" s="1"/>
  <c r="Q259" i="5" s="1"/>
  <c r="Q260" i="5" s="1"/>
  <c r="Q261" i="5" s="1"/>
  <c r="H250" i="5"/>
  <c r="H251" i="5" s="1"/>
  <c r="H252" i="5" s="1"/>
  <c r="H253" i="5" s="1"/>
  <c r="H254" i="5" s="1"/>
  <c r="H255" i="5" s="1"/>
  <c r="H256" i="5" s="1"/>
  <c r="H257" i="5" s="1"/>
  <c r="H258" i="5" s="1"/>
  <c r="H259" i="5" s="1"/>
  <c r="H260" i="5" s="1"/>
  <c r="H261" i="5" s="1"/>
  <c r="H263" i="5"/>
  <c r="H266" i="5" s="1"/>
  <c r="H267" i="5" s="1"/>
  <c r="H280" i="5"/>
  <c r="J250" i="5"/>
  <c r="J251" i="5" s="1"/>
  <c r="J252" i="5" s="1"/>
  <c r="J253" i="5" s="1"/>
  <c r="J254" i="5" s="1"/>
  <c r="J255" i="5" s="1"/>
  <c r="J256" i="5" s="1"/>
  <c r="J257" i="5" s="1"/>
  <c r="J258" i="5" s="1"/>
  <c r="J259" i="5" s="1"/>
  <c r="J260" i="5" s="1"/>
  <c r="J261" i="5" s="1"/>
  <c r="J263" i="5"/>
  <c r="J266" i="5" s="1"/>
  <c r="J267" i="5" s="1"/>
  <c r="J280" i="5"/>
  <c r="M250" i="5"/>
  <c r="M251" i="5" s="1"/>
  <c r="M252" i="5" s="1"/>
  <c r="M253" i="5" s="1"/>
  <c r="M254" i="5" s="1"/>
  <c r="M255" i="5" s="1"/>
  <c r="M256" i="5" s="1"/>
  <c r="M257" i="5" s="1"/>
  <c r="M258" i="5" s="1"/>
  <c r="M259" i="5" s="1"/>
  <c r="M260" i="5" s="1"/>
  <c r="M261" i="5" s="1"/>
  <c r="M263" i="5"/>
  <c r="M266" i="5" s="1"/>
  <c r="M267" i="5" s="1"/>
  <c r="M280" i="5"/>
  <c r="L263" i="5"/>
  <c r="L266" i="5" s="1"/>
  <c r="L267" i="5" s="1"/>
  <c r="L280" i="5"/>
  <c r="L250" i="5"/>
  <c r="L251" i="5" s="1"/>
  <c r="L252" i="5" s="1"/>
  <c r="L253" i="5" s="1"/>
  <c r="L254" i="5" s="1"/>
  <c r="L255" i="5" s="1"/>
  <c r="L256" i="5" s="1"/>
  <c r="L257" i="5" s="1"/>
  <c r="L258" i="5" s="1"/>
  <c r="L259" i="5" s="1"/>
  <c r="L260" i="5" s="1"/>
  <c r="L261" i="5" s="1"/>
  <c r="F280" i="5"/>
  <c r="F250" i="5"/>
  <c r="F251" i="5" s="1"/>
  <c r="F252" i="5" s="1"/>
  <c r="F253" i="5" s="1"/>
  <c r="F254" i="5" s="1"/>
  <c r="F255" i="5" s="1"/>
  <c r="F256" i="5" s="1"/>
  <c r="F257" i="5" s="1"/>
  <c r="F258" i="5" s="1"/>
  <c r="F259" i="5" s="1"/>
  <c r="F260" i="5" s="1"/>
  <c r="F261" i="5" s="1"/>
  <c r="F263" i="5"/>
  <c r="F266" i="5" s="1"/>
  <c r="F267" i="5" s="1"/>
  <c r="K250" i="5"/>
  <c r="K251" i="5" s="1"/>
  <c r="K252" i="5" s="1"/>
  <c r="K253" i="5" s="1"/>
  <c r="K254" i="5" s="1"/>
  <c r="K255" i="5" s="1"/>
  <c r="K256" i="5" s="1"/>
  <c r="K257" i="5" s="1"/>
  <c r="K258" i="5" s="1"/>
  <c r="K259" i="5" s="1"/>
  <c r="K260" i="5" s="1"/>
  <c r="K261" i="5" s="1"/>
  <c r="K280" i="5"/>
  <c r="K263" i="5"/>
  <c r="K266" i="5" s="1"/>
  <c r="K267" i="5" s="1"/>
  <c r="N250" i="5"/>
  <c r="N251" i="5" s="1"/>
  <c r="N252" i="5" s="1"/>
  <c r="N253" i="5" s="1"/>
  <c r="N254" i="5" s="1"/>
  <c r="N255" i="5" s="1"/>
  <c r="N256" i="5" s="1"/>
  <c r="N257" i="5" s="1"/>
  <c r="N258" i="5" s="1"/>
  <c r="N259" i="5" s="1"/>
  <c r="N260" i="5" s="1"/>
  <c r="N261" i="5" s="1"/>
  <c r="N280" i="5"/>
  <c r="N263" i="5"/>
  <c r="N266" i="5" s="1"/>
  <c r="N267" i="5" s="1"/>
  <c r="C250" i="5"/>
  <c r="C251" i="5" s="1"/>
  <c r="C252" i="5" s="1"/>
  <c r="C253" i="5" s="1"/>
  <c r="C254" i="5" s="1"/>
  <c r="C255" i="5" s="1"/>
  <c r="C256" i="5" s="1"/>
  <c r="C257" i="5" s="1"/>
  <c r="C258" i="5" s="1"/>
  <c r="C259" i="5" s="1"/>
  <c r="C260" i="5" s="1"/>
  <c r="C261" i="5" s="1"/>
  <c r="C280" i="5"/>
  <c r="C263" i="5"/>
  <c r="C266" i="5" s="1"/>
  <c r="C267" i="5" s="1"/>
  <c r="B263" i="5"/>
  <c r="B266" i="5" s="1"/>
  <c r="B267" i="5" s="1"/>
  <c r="B250" i="5"/>
  <c r="B251" i="5" s="1"/>
  <c r="B252" i="5" s="1"/>
  <c r="B253" i="5" s="1"/>
  <c r="B254" i="5" s="1"/>
  <c r="B255" i="5" s="1"/>
  <c r="B256" i="5" s="1"/>
  <c r="B257" i="5" s="1"/>
  <c r="B258" i="5" s="1"/>
  <c r="B259" i="5" s="1"/>
  <c r="B260" i="5" s="1"/>
  <c r="B261" i="5" s="1"/>
  <c r="B280" i="5"/>
  <c r="G749" i="1"/>
  <c r="G748" i="1"/>
  <c r="A831" i="1" l="1"/>
  <c r="A749" i="1"/>
  <c r="A762" i="1" s="1"/>
  <c r="I747" i="1"/>
  <c r="A864" i="1"/>
  <c r="H749" i="1"/>
  <c r="H748" i="1"/>
  <c r="I749" i="1" l="1"/>
  <c r="I748" i="1"/>
  <c r="A750" i="1"/>
  <c r="A763" i="1" s="1"/>
  <c r="A865" i="1"/>
  <c r="A832" i="1"/>
  <c r="J747" i="1"/>
  <c r="A751" i="1" l="1"/>
  <c r="A833" i="1"/>
  <c r="K747" i="1"/>
  <c r="A866" i="1"/>
  <c r="J748" i="1"/>
  <c r="J749" i="1"/>
  <c r="K748" i="1" l="1"/>
  <c r="K749" i="1"/>
  <c r="A764" i="1"/>
  <c r="A867" i="1"/>
  <c r="G750" i="1"/>
  <c r="A834" i="1"/>
  <c r="A752" i="1"/>
  <c r="A765" i="1" l="1"/>
  <c r="A835" i="1"/>
  <c r="A868" i="1"/>
  <c r="H750" i="1"/>
  <c r="A753" i="1"/>
  <c r="G752" i="1"/>
  <c r="G751" i="1"/>
  <c r="H752" i="1" l="1"/>
  <c r="H751" i="1"/>
  <c r="A766" i="1"/>
  <c r="A754" i="1"/>
  <c r="I750" i="1"/>
  <c r="A836" i="1"/>
  <c r="A869" i="1"/>
  <c r="A767" i="1" l="1"/>
  <c r="A870" i="1"/>
  <c r="A755" i="1"/>
  <c r="A837" i="1"/>
  <c r="J750" i="1"/>
  <c r="I752" i="1"/>
  <c r="I751" i="1"/>
  <c r="A768" i="1" l="1"/>
  <c r="J752" i="1"/>
  <c r="J751" i="1"/>
  <c r="A871" i="1"/>
  <c r="A838" i="1"/>
  <c r="K750" i="1"/>
  <c r="A756" i="1"/>
  <c r="A769" i="1" l="1"/>
  <c r="A839" i="1"/>
  <c r="A872" i="1"/>
  <c r="L750" i="1"/>
  <c r="A757" i="1"/>
  <c r="K751" i="1"/>
  <c r="K752" i="1"/>
  <c r="L751" i="1" l="1"/>
  <c r="L752" i="1"/>
  <c r="A770" i="1"/>
  <c r="A840" i="1"/>
  <c r="A758" i="1"/>
  <c r="A873" i="1"/>
  <c r="G753" i="1"/>
  <c r="H753" i="1" l="1"/>
  <c r="H754" i="1" s="1"/>
  <c r="A841" i="1"/>
  <c r="A771" i="1"/>
  <c r="B771" i="1" s="1"/>
  <c r="G754" i="1"/>
  <c r="G755" i="1"/>
  <c r="A874" i="1"/>
  <c r="H755" i="1" l="1"/>
  <c r="G760" i="1"/>
  <c r="H760" i="1" s="1"/>
  <c r="A792" i="1" s="1"/>
  <c r="B792" i="1" s="1"/>
  <c r="H770" i="1"/>
  <c r="A802" i="1" s="1"/>
  <c r="D802" i="1" s="1"/>
  <c r="H769" i="1"/>
  <c r="A801" i="1" s="1"/>
  <c r="D801" i="1" s="1"/>
  <c r="H762" i="1"/>
  <c r="A794" i="1" s="1"/>
  <c r="D794" i="1" s="1"/>
  <c r="H761" i="1"/>
  <c r="A793" i="1" s="1"/>
  <c r="D793" i="1" s="1"/>
  <c r="H768" i="1"/>
  <c r="A800" i="1" s="1"/>
  <c r="D800" i="1" s="1"/>
  <c r="H767" i="1"/>
  <c r="A799" i="1" s="1"/>
  <c r="D799" i="1" s="1"/>
  <c r="H771" i="1"/>
  <c r="H765" i="1"/>
  <c r="A797" i="1" s="1"/>
  <c r="D797" i="1" s="1"/>
  <c r="H764" i="1"/>
  <c r="A796" i="1" s="1"/>
  <c r="D796" i="1" s="1"/>
  <c r="H763" i="1"/>
  <c r="A795" i="1" s="1"/>
  <c r="D795" i="1" s="1"/>
  <c r="H766" i="1"/>
  <c r="A798" i="1" s="1"/>
  <c r="D798" i="1" s="1"/>
  <c r="B803" i="1" l="1"/>
  <c r="C800" i="1" s="1"/>
  <c r="D792" i="1"/>
  <c r="F801" i="1" s="1"/>
  <c r="F772" i="1"/>
  <c r="E777" i="1" s="1"/>
  <c r="K10" i="6"/>
  <c r="E841" i="1"/>
  <c r="G837" i="1" s="1"/>
  <c r="G823" i="1"/>
  <c r="G772" i="1"/>
  <c r="F896" i="1"/>
  <c r="G829" i="1"/>
  <c r="G830" i="1" s="1"/>
  <c r="A264" i="5"/>
  <c r="Q264" i="5" s="1"/>
  <c r="G825" i="1"/>
  <c r="H904" i="1"/>
  <c r="A933" i="1" s="1"/>
  <c r="F860" i="1"/>
  <c r="C805" i="1"/>
  <c r="C806" i="1"/>
  <c r="C799" i="1" l="1"/>
  <c r="C807" i="1"/>
  <c r="E807" i="1" s="1"/>
  <c r="C795" i="1"/>
  <c r="G817" i="1"/>
  <c r="C791" i="1"/>
  <c r="C816" i="1"/>
  <c r="E816" i="1" s="1"/>
  <c r="C812" i="1"/>
  <c r="E812" i="1" s="1"/>
  <c r="C813" i="1"/>
  <c r="E813" i="1" s="1"/>
  <c r="C811" i="1"/>
  <c r="E811" i="1" s="1"/>
  <c r="C815" i="1"/>
  <c r="E815" i="1" s="1"/>
  <c r="G813" i="1"/>
  <c r="C792" i="1"/>
  <c r="G812" i="1"/>
  <c r="G809" i="1"/>
  <c r="C814" i="1"/>
  <c r="C809" i="1"/>
  <c r="E809" i="1" s="1"/>
  <c r="F793" i="1"/>
  <c r="G793" i="1" s="1"/>
  <c r="F791" i="1"/>
  <c r="G791" i="1" s="1"/>
  <c r="F802" i="1"/>
  <c r="G802" i="1" s="1"/>
  <c r="F800" i="1"/>
  <c r="C793" i="1"/>
  <c r="C798" i="1"/>
  <c r="C808" i="1"/>
  <c r="G811" i="1"/>
  <c r="G816" i="1"/>
  <c r="C794" i="1"/>
  <c r="C797" i="1"/>
  <c r="G808" i="1"/>
  <c r="F808" i="1" s="1"/>
  <c r="F794" i="1"/>
  <c r="G794" i="1" s="1"/>
  <c r="F797" i="1"/>
  <c r="G797" i="1" s="1"/>
  <c r="F796" i="1"/>
  <c r="G796" i="1" s="1"/>
  <c r="F798" i="1"/>
  <c r="G798" i="1" s="1"/>
  <c r="F799" i="1"/>
  <c r="G799" i="1" s="1"/>
  <c r="G814" i="1"/>
  <c r="C802" i="1"/>
  <c r="G810" i="1"/>
  <c r="C801" i="1"/>
  <c r="C810" i="1"/>
  <c r="E810" i="1" s="1"/>
  <c r="C796" i="1"/>
  <c r="G815" i="1"/>
  <c r="F795" i="1"/>
  <c r="G795" i="1" s="1"/>
  <c r="F792" i="1"/>
  <c r="H264" i="5"/>
  <c r="K264" i="5"/>
  <c r="N264" i="5"/>
  <c r="J264" i="5"/>
  <c r="G801" i="1"/>
  <c r="R264" i="5"/>
  <c r="L264" i="5"/>
  <c r="P264" i="5"/>
  <c r="E264" i="5"/>
  <c r="O264" i="5"/>
  <c r="D264" i="5"/>
  <c r="G264" i="5"/>
  <c r="M264" i="5"/>
  <c r="F264" i="5"/>
  <c r="I264" i="5"/>
  <c r="C264" i="5"/>
  <c r="B264" i="5"/>
  <c r="F1031" i="1"/>
  <c r="F1164" i="1" s="1"/>
  <c r="F1241" i="1" s="1"/>
  <c r="F1358" i="1" s="1"/>
  <c r="F1470" i="1" s="1"/>
  <c r="F1579" i="1" s="1"/>
  <c r="F1644" i="1" s="1"/>
  <c r="F1706" i="1" s="1"/>
  <c r="F1761" i="1" s="1"/>
  <c r="F1807" i="1" s="1"/>
  <c r="K900" i="1"/>
  <c r="I900" i="1"/>
  <c r="J900" i="1"/>
  <c r="L900" i="1"/>
  <c r="G775" i="1"/>
  <c r="F776" i="1"/>
  <c r="C773" i="1"/>
  <c r="H801" i="1" l="1"/>
  <c r="H802" i="1"/>
  <c r="H791" i="1"/>
  <c r="D815" i="1"/>
  <c r="D814" i="1"/>
  <c r="D813" i="1"/>
  <c r="F809" i="1"/>
  <c r="F810" i="1" s="1"/>
  <c r="F811" i="1" s="1"/>
  <c r="F812" i="1" s="1"/>
  <c r="F813" i="1" s="1"/>
  <c r="F814" i="1" s="1"/>
  <c r="F815" i="1" s="1"/>
  <c r="F816" i="1" s="1"/>
  <c r="F817" i="1" s="1"/>
  <c r="H793" i="1"/>
  <c r="H799" i="1"/>
  <c r="H795" i="1"/>
  <c r="H794" i="1"/>
  <c r="D811" i="1"/>
  <c r="E814" i="1"/>
  <c r="D809" i="1"/>
  <c r="H800" i="1"/>
  <c r="H797" i="1"/>
  <c r="H796" i="1"/>
  <c r="D808" i="1"/>
  <c r="H792" i="1"/>
  <c r="G800" i="1"/>
  <c r="H798" i="1"/>
  <c r="D805" i="1"/>
  <c r="D812" i="1"/>
  <c r="D807" i="1"/>
  <c r="D816" i="1"/>
  <c r="D810" i="1"/>
  <c r="E808" i="1"/>
  <c r="G792" i="1"/>
  <c r="D806" i="1"/>
  <c r="A787" i="1"/>
  <c r="B787" i="1" s="1"/>
  <c r="C775" i="1"/>
  <c r="G776" i="1"/>
  <c r="F781" i="1"/>
  <c r="A781" i="1"/>
  <c r="B783" i="1"/>
  <c r="B780" i="1"/>
  <c r="B779" i="1"/>
  <c r="A783" i="1"/>
  <c r="A784" i="1"/>
  <c r="B777" i="1"/>
  <c r="B784" i="1"/>
  <c r="A780" i="1"/>
  <c r="A778" i="1"/>
  <c r="B781" i="1"/>
  <c r="B782" i="1"/>
  <c r="B776" i="1"/>
  <c r="B785" i="1"/>
  <c r="B778" i="1"/>
  <c r="A776" i="1"/>
  <c r="A786" i="1"/>
  <c r="A777" i="1"/>
  <c r="A785" i="1"/>
  <c r="A782" i="1"/>
  <c r="A779" i="1"/>
  <c r="B786" i="1"/>
  <c r="L804" i="1" l="1"/>
  <c r="H814" i="1"/>
  <c r="H810" i="1"/>
  <c r="H809" i="1"/>
  <c r="H812" i="1"/>
  <c r="H817" i="1"/>
  <c r="I805" i="1"/>
  <c r="L805" i="1"/>
  <c r="H816" i="1"/>
  <c r="J805" i="1"/>
  <c r="H808" i="1"/>
  <c r="J804" i="1"/>
  <c r="H811" i="1"/>
  <c r="K804" i="1"/>
  <c r="H813" i="1"/>
  <c r="H815" i="1"/>
  <c r="H804" i="1"/>
  <c r="H806" i="1"/>
  <c r="F819" i="1" s="1"/>
  <c r="H807" i="1"/>
  <c r="C776" i="1"/>
  <c r="D776" i="1" s="1"/>
  <c r="G805" i="1"/>
  <c r="H805" i="1"/>
  <c r="K805" i="1"/>
  <c r="G804" i="1"/>
  <c r="D804" i="1"/>
  <c r="I804" i="1"/>
  <c r="C777" i="1"/>
  <c r="C778" i="1"/>
  <c r="C783" i="1"/>
  <c r="C787" i="1"/>
  <c r="C784" i="1"/>
  <c r="A823" i="1"/>
  <c r="A821" i="1"/>
  <c r="A822" i="1"/>
  <c r="A825" i="1"/>
  <c r="A820" i="1"/>
  <c r="A824" i="1"/>
  <c r="C786" i="1"/>
  <c r="C785" i="1"/>
  <c r="F820" i="1" l="1"/>
  <c r="G820" i="1" s="1"/>
  <c r="G819" i="1"/>
  <c r="D777" i="1"/>
  <c r="D778" i="1" s="1"/>
  <c r="C779" i="1" s="1"/>
  <c r="D779" i="1" s="1"/>
  <c r="C780" i="1" s="1"/>
  <c r="D780" i="1" s="1"/>
  <c r="C781" i="1" s="1"/>
  <c r="D781" i="1" s="1"/>
  <c r="C782" i="1" s="1"/>
  <c r="K11" i="6"/>
  <c r="B24" i="6"/>
  <c r="D822" i="1" l="1"/>
  <c r="E822" i="1" s="1"/>
  <c r="K14" i="6"/>
  <c r="F825" i="1"/>
  <c r="B823" i="1"/>
  <c r="B821" i="1"/>
  <c r="B824" i="1"/>
  <c r="B820" i="1"/>
  <c r="B822" i="1"/>
  <c r="B825" i="1"/>
  <c r="F780" i="1"/>
  <c r="F785" i="1" s="1"/>
  <c r="F778" i="1"/>
  <c r="F783" i="1" s="1"/>
  <c r="F777" i="1"/>
  <c r="F782" i="1" s="1"/>
  <c r="F779" i="1"/>
  <c r="F784" i="1" s="1"/>
  <c r="F827" i="1" l="1"/>
  <c r="C856" i="1" s="1"/>
  <c r="F826" i="1"/>
  <c r="C855" i="1" s="1"/>
  <c r="F823" i="1"/>
  <c r="K12" i="6" s="1"/>
  <c r="F824" i="1"/>
  <c r="E844" i="1"/>
  <c r="G838" i="1" s="1"/>
  <c r="D269" i="5"/>
  <c r="F786" i="1"/>
  <c r="G781" i="1" s="1"/>
  <c r="K2" i="6"/>
  <c r="G778" i="1"/>
  <c r="B831" i="1" l="1"/>
  <c r="D820" i="1"/>
  <c r="E820" i="1" s="1"/>
  <c r="G824" i="1"/>
  <c r="B269" i="5"/>
  <c r="E842" i="1"/>
  <c r="H837" i="1" s="1"/>
  <c r="B829" i="1"/>
  <c r="B841" i="1"/>
  <c r="B830" i="1"/>
  <c r="K13" i="6"/>
  <c r="G826" i="1"/>
  <c r="B838" i="1"/>
  <c r="B836" i="1"/>
  <c r="B840" i="1"/>
  <c r="C269" i="5"/>
  <c r="B835" i="1"/>
  <c r="D821" i="1"/>
  <c r="E821" i="1" s="1"/>
  <c r="B837" i="1"/>
  <c r="B833" i="1"/>
  <c r="E843" i="1"/>
  <c r="I837" i="1" s="1"/>
  <c r="B832" i="1"/>
  <c r="B839" i="1"/>
  <c r="B834" i="1"/>
  <c r="F914" i="1"/>
  <c r="G782" i="1"/>
  <c r="K7" i="6"/>
  <c r="L2" i="6" s="1"/>
  <c r="M270" i="5" l="1"/>
  <c r="F270" i="5"/>
  <c r="D823" i="1"/>
  <c r="E824" i="1" s="1"/>
  <c r="R270" i="5"/>
  <c r="P270" i="5"/>
  <c r="I270" i="5"/>
  <c r="H830" i="1"/>
  <c r="A844" i="1" s="1"/>
  <c r="B844" i="1" s="1"/>
  <c r="G270" i="5"/>
  <c r="Q270" i="5"/>
  <c r="K270" i="5"/>
  <c r="J270" i="5"/>
  <c r="C270" i="5"/>
  <c r="D270" i="5"/>
  <c r="B270" i="5"/>
  <c r="O270" i="5"/>
  <c r="N270" i="5"/>
  <c r="H829" i="1"/>
  <c r="A843" i="1" s="1"/>
  <c r="L270" i="5"/>
  <c r="E270" i="5"/>
  <c r="H270" i="5"/>
  <c r="F834" i="1" l="1"/>
  <c r="F835" i="1" s="1"/>
  <c r="B845" i="1" s="1"/>
  <c r="B843" i="1"/>
  <c r="G832" i="1" l="1"/>
  <c r="G833" i="1" s="1"/>
  <c r="G834" i="1" s="1"/>
  <c r="E846" i="1" s="1"/>
  <c r="I838" i="1" l="1"/>
  <c r="E845" i="1"/>
  <c r="H845" i="1" s="1"/>
  <c r="H846" i="1" l="1"/>
  <c r="G847" i="1" s="1"/>
  <c r="H841" i="1"/>
  <c r="H844" i="1"/>
  <c r="H842" i="1"/>
  <c r="H843" i="1"/>
  <c r="H838" i="1"/>
  <c r="C841" i="1" s="1"/>
  <c r="K15" i="6" l="1"/>
  <c r="D855" i="1"/>
  <c r="G850" i="1"/>
  <c r="A271" i="5"/>
  <c r="I271" i="5" s="1"/>
  <c r="F897" i="1"/>
  <c r="L901" i="1" s="1"/>
  <c r="C832" i="1"/>
  <c r="C839" i="1"/>
  <c r="C835" i="1"/>
  <c r="C829" i="1"/>
  <c r="C836" i="1"/>
  <c r="C833" i="1"/>
  <c r="C830" i="1"/>
  <c r="C837" i="1"/>
  <c r="C834" i="1"/>
  <c r="C840" i="1"/>
  <c r="C831" i="1"/>
  <c r="C838" i="1"/>
  <c r="K901" i="1" l="1"/>
  <c r="D271" i="5"/>
  <c r="O271" i="5"/>
  <c r="R271" i="5"/>
  <c r="B271" i="5"/>
  <c r="F271" i="5"/>
  <c r="L271" i="5"/>
  <c r="N271" i="5"/>
  <c r="P271" i="5"/>
  <c r="Q271" i="5"/>
  <c r="J271" i="5"/>
  <c r="K271" i="5"/>
  <c r="C271" i="5"/>
  <c r="H271" i="5"/>
  <c r="E271" i="5"/>
  <c r="G271" i="5"/>
  <c r="M271" i="5"/>
  <c r="F1033" i="1"/>
  <c r="F1166" i="1" s="1"/>
  <c r="F1243" i="1" s="1"/>
  <c r="F1360" i="1" s="1"/>
  <c r="F1472" i="1" s="1"/>
  <c r="F1582" i="1" s="1"/>
  <c r="F1647" i="1" s="1"/>
  <c r="F1709" i="1" s="1"/>
  <c r="F1764" i="1" s="1"/>
  <c r="F1810" i="1" s="1"/>
  <c r="I901" i="1"/>
  <c r="J901" i="1"/>
  <c r="H839" i="1"/>
  <c r="A272" i="5" l="1"/>
  <c r="A273" i="5" s="1"/>
  <c r="G851" i="1" s="1"/>
  <c r="G852" i="1" l="1"/>
  <c r="G853" i="1" s="1"/>
  <c r="G856" i="1" s="1"/>
  <c r="G857" i="1"/>
  <c r="I860" i="1" s="1"/>
  <c r="F865" i="1" s="1"/>
  <c r="G855" i="1" l="1"/>
  <c r="C33" i="6" s="1"/>
  <c r="A282" i="5"/>
  <c r="C34" i="6"/>
  <c r="H860" i="1"/>
  <c r="C275" i="5" s="1"/>
  <c r="F867" i="1"/>
  <c r="F870" i="1"/>
  <c r="F868" i="1"/>
  <c r="E879" i="1"/>
  <c r="E885" i="1" s="1"/>
  <c r="F864" i="1"/>
  <c r="F869" i="1"/>
  <c r="D275" i="5"/>
  <c r="F866" i="1"/>
  <c r="F871" i="1"/>
  <c r="A283" i="5"/>
  <c r="C35" i="6"/>
  <c r="A281" i="5" l="1"/>
  <c r="E281" i="5" s="1"/>
  <c r="E282" i="5" s="1"/>
  <c r="E283" i="5" s="1"/>
  <c r="E284" i="5" s="1"/>
  <c r="K17" i="6"/>
  <c r="G860" i="1"/>
  <c r="B874" i="1" s="1"/>
  <c r="E878" i="1"/>
  <c r="E884" i="1" s="1"/>
  <c r="B864" i="1" l="1"/>
  <c r="B862" i="1"/>
  <c r="B865" i="1"/>
  <c r="B870" i="1"/>
  <c r="B868" i="1"/>
  <c r="B863" i="1"/>
  <c r="B867" i="1"/>
  <c r="P281" i="5"/>
  <c r="P282" i="5" s="1"/>
  <c r="P283" i="5" s="1"/>
  <c r="P284" i="5" s="1"/>
  <c r="R281" i="5"/>
  <c r="R282" i="5" s="1"/>
  <c r="R283" i="5" s="1"/>
  <c r="R284" i="5" s="1"/>
  <c r="C281" i="5"/>
  <c r="C282" i="5" s="1"/>
  <c r="C283" i="5" s="1"/>
  <c r="C284" i="5" s="1"/>
  <c r="O281" i="5"/>
  <c r="O282" i="5" s="1"/>
  <c r="O283" i="5" s="1"/>
  <c r="O284" i="5" s="1"/>
  <c r="B869" i="1"/>
  <c r="B275" i="5"/>
  <c r="D276" i="5" s="1"/>
  <c r="D277" i="5" s="1"/>
  <c r="D281" i="5"/>
  <c r="D282" i="5" s="1"/>
  <c r="D283" i="5" s="1"/>
  <c r="D284" i="5" s="1"/>
  <c r="H281" i="5"/>
  <c r="H282" i="5" s="1"/>
  <c r="H283" i="5" s="1"/>
  <c r="H284" i="5" s="1"/>
  <c r="B871" i="1"/>
  <c r="B873" i="1"/>
  <c r="I281" i="5"/>
  <c r="I282" i="5" s="1"/>
  <c r="I283" i="5" s="1"/>
  <c r="I284" i="5" s="1"/>
  <c r="B872" i="1"/>
  <c r="B866" i="1"/>
  <c r="E877" i="1"/>
  <c r="E883" i="1" s="1"/>
  <c r="M281" i="5"/>
  <c r="M282" i="5" s="1"/>
  <c r="M283" i="5" s="1"/>
  <c r="M284" i="5" s="1"/>
  <c r="B281" i="5"/>
  <c r="B282" i="5" s="1"/>
  <c r="B283" i="5" s="1"/>
  <c r="B284" i="5" s="1"/>
  <c r="L281" i="5"/>
  <c r="L282" i="5" s="1"/>
  <c r="L283" i="5" s="1"/>
  <c r="F281" i="5"/>
  <c r="F282" i="5" s="1"/>
  <c r="F283" i="5" s="1"/>
  <c r="K281" i="5"/>
  <c r="K282" i="5" s="1"/>
  <c r="K283" i="5" s="1"/>
  <c r="G281" i="5"/>
  <c r="G282" i="5" s="1"/>
  <c r="G283" i="5" s="1"/>
  <c r="G284" i="5" s="1"/>
  <c r="Q281" i="5"/>
  <c r="Q282" i="5" s="1"/>
  <c r="Q283" i="5" s="1"/>
  <c r="Q284" i="5" s="1"/>
  <c r="N281" i="5"/>
  <c r="N282" i="5" s="1"/>
  <c r="N283" i="5" s="1"/>
  <c r="N284" i="5" s="1"/>
  <c r="J281" i="5"/>
  <c r="J282" i="5" s="1"/>
  <c r="J283" i="5" s="1"/>
  <c r="J284" i="5" s="1"/>
  <c r="Q276" i="5" l="1"/>
  <c r="Q277" i="5" s="1"/>
  <c r="O276" i="5"/>
  <c r="O277" i="5" s="1"/>
  <c r="P276" i="5"/>
  <c r="P277" i="5" s="1"/>
  <c r="G276" i="5"/>
  <c r="G277" i="5" s="1"/>
  <c r="L276" i="5"/>
  <c r="L277" i="5" s="1"/>
  <c r="F276" i="5"/>
  <c r="F277" i="5" s="1"/>
  <c r="N276" i="5"/>
  <c r="N277" i="5" s="1"/>
  <c r="B276" i="5"/>
  <c r="B277" i="5" s="1"/>
  <c r="H276" i="5"/>
  <c r="H277" i="5" s="1"/>
  <c r="C276" i="5"/>
  <c r="C277" i="5" s="1"/>
  <c r="R276" i="5"/>
  <c r="R277" i="5" s="1"/>
  <c r="F284" i="5"/>
  <c r="E276" i="5"/>
  <c r="E277" i="5" s="1"/>
  <c r="K276" i="5"/>
  <c r="K277" i="5" s="1"/>
  <c r="M276" i="5"/>
  <c r="M277" i="5" s="1"/>
  <c r="J276" i="5"/>
  <c r="J277" i="5" s="1"/>
  <c r="I276" i="5"/>
  <c r="I277" i="5" s="1"/>
  <c r="L284" i="5"/>
  <c r="E866" i="1"/>
  <c r="E867" i="1"/>
  <c r="E869" i="1"/>
  <c r="E864" i="1"/>
  <c r="E868" i="1"/>
  <c r="A878" i="1"/>
  <c r="E872" i="1" s="1"/>
  <c r="F872" i="1" s="1"/>
  <c r="E870" i="1"/>
  <c r="E865" i="1"/>
  <c r="E871" i="1"/>
  <c r="K284" i="5"/>
  <c r="D278" i="5" l="1"/>
  <c r="E278" i="5" s="1"/>
  <c r="G278" i="5" s="1"/>
  <c r="B278" i="5"/>
  <c r="C278" i="5"/>
  <c r="E873" i="1"/>
  <c r="F873" i="1" s="1"/>
  <c r="F278" i="5" l="1"/>
  <c r="A278" i="5" s="1"/>
  <c r="D860" i="1" s="1"/>
  <c r="E860" i="1" s="1"/>
  <c r="G862" i="1" s="1"/>
  <c r="G863" i="1" l="1"/>
  <c r="G864" i="1"/>
  <c r="G865" i="1" s="1"/>
  <c r="G866" i="1" s="1"/>
  <c r="H866" i="1" s="1"/>
  <c r="C894" i="1"/>
  <c r="C895" i="1" s="1"/>
  <c r="H864" i="1" l="1"/>
  <c r="H865" i="1"/>
  <c r="G867" i="1"/>
  <c r="G868" i="1" s="1"/>
  <c r="G869" i="1" s="1"/>
  <c r="G885" i="1"/>
  <c r="H868" i="1" l="1"/>
  <c r="H867" i="1"/>
  <c r="G870" i="1"/>
  <c r="H869" i="1"/>
  <c r="H870" i="1" l="1"/>
  <c r="G871" i="1"/>
  <c r="G872" i="1" l="1"/>
  <c r="H871" i="1"/>
  <c r="H872" i="1" l="1"/>
  <c r="G873" i="1"/>
  <c r="H873" i="1" s="1"/>
  <c r="F877" i="1" l="1"/>
  <c r="F879" i="1"/>
  <c r="F878" i="1"/>
  <c r="F880" i="1" l="1"/>
  <c r="F882" i="1"/>
  <c r="F881" i="1"/>
  <c r="E880" i="1" l="1"/>
  <c r="G875" i="1" s="1"/>
  <c r="E881" i="1" l="1"/>
  <c r="G876" i="1"/>
  <c r="G877" i="1" s="1"/>
  <c r="C32" i="6"/>
  <c r="H877" i="1" l="1"/>
  <c r="F885" i="1" s="1"/>
  <c r="F884" i="1" l="1"/>
  <c r="F883" i="1"/>
  <c r="F888" i="1" l="1"/>
  <c r="G883" i="1"/>
  <c r="F886" i="1"/>
  <c r="G884" i="1"/>
  <c r="F916" i="1" s="1"/>
  <c r="F887" i="1"/>
  <c r="G879" i="1" l="1"/>
  <c r="G880" i="1" s="1"/>
  <c r="G881" i="1" s="1"/>
  <c r="H899" i="1"/>
  <c r="H901" i="1" s="1"/>
  <c r="G887" i="1"/>
  <c r="A893" i="1"/>
  <c r="A1001" i="1" s="1"/>
  <c r="A287" i="5"/>
  <c r="B287" i="5" s="1"/>
  <c r="K39" i="6"/>
  <c r="K40" i="6" s="1"/>
  <c r="H900" i="1" l="1"/>
  <c r="L287" i="5"/>
  <c r="L317" i="5" s="1"/>
  <c r="N287" i="5"/>
  <c r="N288" i="5" s="1"/>
  <c r="N289" i="5" s="1"/>
  <c r="N290" i="5" s="1"/>
  <c r="N291" i="5" s="1"/>
  <c r="N292" i="5" s="1"/>
  <c r="N293" i="5" s="1"/>
  <c r="N294" i="5" s="1"/>
  <c r="N295" i="5" s="1"/>
  <c r="N296" i="5" s="1"/>
  <c r="N297" i="5" s="1"/>
  <c r="N298" i="5" s="1"/>
  <c r="G893" i="1"/>
  <c r="G894" i="1" s="1"/>
  <c r="H1034" i="1"/>
  <c r="E33" i="6" s="1"/>
  <c r="F287" i="5"/>
  <c r="F317" i="5" s="1"/>
  <c r="I287" i="5"/>
  <c r="I317" i="5" s="1"/>
  <c r="A967" i="1"/>
  <c r="H287" i="5"/>
  <c r="H288" i="5" s="1"/>
  <c r="H289" i="5" s="1"/>
  <c r="H290" i="5" s="1"/>
  <c r="H291" i="5" s="1"/>
  <c r="H292" i="5" s="1"/>
  <c r="H293" i="5" s="1"/>
  <c r="H294" i="5" s="1"/>
  <c r="H295" i="5" s="1"/>
  <c r="H296" i="5" s="1"/>
  <c r="H297" i="5" s="1"/>
  <c r="H298" i="5" s="1"/>
  <c r="R287" i="5"/>
  <c r="R300" i="5" s="1"/>
  <c r="R303" i="5" s="1"/>
  <c r="R304" i="5" s="1"/>
  <c r="G287" i="5"/>
  <c r="G288" i="5" s="1"/>
  <c r="G289" i="5" s="1"/>
  <c r="G290" i="5" s="1"/>
  <c r="G291" i="5" s="1"/>
  <c r="G292" i="5" s="1"/>
  <c r="G293" i="5" s="1"/>
  <c r="G294" i="5" s="1"/>
  <c r="G295" i="5" s="1"/>
  <c r="G296" i="5" s="1"/>
  <c r="G297" i="5" s="1"/>
  <c r="G298" i="5" s="1"/>
  <c r="J287" i="5"/>
  <c r="J300" i="5" s="1"/>
  <c r="J303" i="5" s="1"/>
  <c r="J304" i="5" s="1"/>
  <c r="K287" i="5"/>
  <c r="K317" i="5" s="1"/>
  <c r="M287" i="5"/>
  <c r="M317" i="5" s="1"/>
  <c r="O287" i="5"/>
  <c r="O317" i="5" s="1"/>
  <c r="P287" i="5"/>
  <c r="P288" i="5" s="1"/>
  <c r="P289" i="5" s="1"/>
  <c r="P290" i="5" s="1"/>
  <c r="P291" i="5" s="1"/>
  <c r="P292" i="5" s="1"/>
  <c r="P293" i="5" s="1"/>
  <c r="P294" i="5" s="1"/>
  <c r="P295" i="5" s="1"/>
  <c r="P296" i="5" s="1"/>
  <c r="P297" i="5" s="1"/>
  <c r="P298" i="5" s="1"/>
  <c r="D287" i="5"/>
  <c r="D317" i="5" s="1"/>
  <c r="Q287" i="5"/>
  <c r="Q317" i="5" s="1"/>
  <c r="E287" i="5"/>
  <c r="E288" i="5" s="1"/>
  <c r="E289" i="5" s="1"/>
  <c r="E290" i="5" s="1"/>
  <c r="E291" i="5" s="1"/>
  <c r="E292" i="5" s="1"/>
  <c r="E293" i="5" s="1"/>
  <c r="E294" i="5" s="1"/>
  <c r="E295" i="5" s="1"/>
  <c r="E296" i="5" s="1"/>
  <c r="E297" i="5" s="1"/>
  <c r="E298" i="5" s="1"/>
  <c r="C287" i="5"/>
  <c r="C288" i="5" s="1"/>
  <c r="C289" i="5" s="1"/>
  <c r="C290" i="5" s="1"/>
  <c r="C291" i="5" s="1"/>
  <c r="C292" i="5" s="1"/>
  <c r="C293" i="5" s="1"/>
  <c r="C294" i="5" s="1"/>
  <c r="C295" i="5" s="1"/>
  <c r="C296" i="5" s="1"/>
  <c r="C297" i="5" s="1"/>
  <c r="C298" i="5" s="1"/>
  <c r="A894" i="1"/>
  <c r="A906" i="1" s="1"/>
  <c r="B288" i="5"/>
  <c r="B289" i="5" s="1"/>
  <c r="B290" i="5" s="1"/>
  <c r="B291" i="5" s="1"/>
  <c r="B292" i="5" s="1"/>
  <c r="B293" i="5" s="1"/>
  <c r="B294" i="5" s="1"/>
  <c r="B295" i="5" s="1"/>
  <c r="B296" i="5" s="1"/>
  <c r="B297" i="5" s="1"/>
  <c r="B298" i="5" s="1"/>
  <c r="B300" i="5"/>
  <c r="B303" i="5" s="1"/>
  <c r="B304" i="5" s="1"/>
  <c r="B317" i="5"/>
  <c r="L300" i="5" l="1"/>
  <c r="L303" i="5" s="1"/>
  <c r="L304" i="5" s="1"/>
  <c r="R288" i="5"/>
  <c r="R289" i="5" s="1"/>
  <c r="R290" i="5" s="1"/>
  <c r="R291" i="5" s="1"/>
  <c r="R292" i="5" s="1"/>
  <c r="R293" i="5" s="1"/>
  <c r="R294" i="5" s="1"/>
  <c r="R295" i="5" s="1"/>
  <c r="R296" i="5" s="1"/>
  <c r="R297" i="5" s="1"/>
  <c r="R298" i="5" s="1"/>
  <c r="Q288" i="5"/>
  <c r="Q289" i="5" s="1"/>
  <c r="Q290" i="5" s="1"/>
  <c r="Q291" i="5" s="1"/>
  <c r="Q292" i="5" s="1"/>
  <c r="Q293" i="5" s="1"/>
  <c r="Q294" i="5" s="1"/>
  <c r="Q295" i="5" s="1"/>
  <c r="Q296" i="5" s="1"/>
  <c r="Q297" i="5" s="1"/>
  <c r="Q298" i="5" s="1"/>
  <c r="M300" i="5"/>
  <c r="M303" i="5" s="1"/>
  <c r="M304" i="5" s="1"/>
  <c r="F288" i="5"/>
  <c r="F289" i="5" s="1"/>
  <c r="F290" i="5" s="1"/>
  <c r="F291" i="5" s="1"/>
  <c r="F292" i="5" s="1"/>
  <c r="F293" i="5" s="1"/>
  <c r="F294" i="5" s="1"/>
  <c r="F295" i="5" s="1"/>
  <c r="F296" i="5" s="1"/>
  <c r="F297" i="5" s="1"/>
  <c r="F298" i="5" s="1"/>
  <c r="R317" i="5"/>
  <c r="M288" i="5"/>
  <c r="M289" i="5" s="1"/>
  <c r="M290" i="5" s="1"/>
  <c r="M291" i="5" s="1"/>
  <c r="M292" i="5" s="1"/>
  <c r="M293" i="5" s="1"/>
  <c r="M294" i="5" s="1"/>
  <c r="M295" i="5" s="1"/>
  <c r="M296" i="5" s="1"/>
  <c r="M297" i="5" s="1"/>
  <c r="M298" i="5" s="1"/>
  <c r="F300" i="5"/>
  <c r="F303" i="5" s="1"/>
  <c r="F304" i="5" s="1"/>
  <c r="N300" i="5"/>
  <c r="N303" i="5" s="1"/>
  <c r="N304" i="5" s="1"/>
  <c r="E317" i="5"/>
  <c r="N317" i="5"/>
  <c r="K288" i="5"/>
  <c r="K289" i="5" s="1"/>
  <c r="K290" i="5" s="1"/>
  <c r="K291" i="5" s="1"/>
  <c r="K292" i="5" s="1"/>
  <c r="K293" i="5" s="1"/>
  <c r="K294" i="5" s="1"/>
  <c r="K295" i="5" s="1"/>
  <c r="K296" i="5" s="1"/>
  <c r="K297" i="5" s="1"/>
  <c r="K298" i="5" s="1"/>
  <c r="H1167" i="1"/>
  <c r="H1246" i="1" s="1"/>
  <c r="H1362" i="1" s="1"/>
  <c r="H1474" i="1" s="1"/>
  <c r="H1583" i="1" s="1"/>
  <c r="H1648" i="1" s="1"/>
  <c r="H1710" i="1" s="1"/>
  <c r="H1765" i="1" s="1"/>
  <c r="H1811" i="1" s="1"/>
  <c r="H1889" i="1" s="1"/>
  <c r="L288" i="5"/>
  <c r="L289" i="5" s="1"/>
  <c r="L290" i="5" s="1"/>
  <c r="L291" i="5" s="1"/>
  <c r="L292" i="5" s="1"/>
  <c r="L293" i="5" s="1"/>
  <c r="L294" i="5" s="1"/>
  <c r="L295" i="5" s="1"/>
  <c r="L296" i="5" s="1"/>
  <c r="L297" i="5" s="1"/>
  <c r="L298" i="5" s="1"/>
  <c r="G300" i="5"/>
  <c r="G303" i="5" s="1"/>
  <c r="G304" i="5" s="1"/>
  <c r="I300" i="5"/>
  <c r="I303" i="5" s="1"/>
  <c r="I304" i="5" s="1"/>
  <c r="G317" i="5"/>
  <c r="I288" i="5"/>
  <c r="I289" i="5" s="1"/>
  <c r="I290" i="5" s="1"/>
  <c r="I291" i="5" s="1"/>
  <c r="I292" i="5" s="1"/>
  <c r="I293" i="5" s="1"/>
  <c r="I294" i="5" s="1"/>
  <c r="I295" i="5" s="1"/>
  <c r="I296" i="5" s="1"/>
  <c r="I297" i="5" s="1"/>
  <c r="I298" i="5" s="1"/>
  <c r="Q300" i="5"/>
  <c r="Q303" i="5" s="1"/>
  <c r="Q304" i="5" s="1"/>
  <c r="E300" i="5"/>
  <c r="E303" i="5" s="1"/>
  <c r="E304" i="5" s="1"/>
  <c r="G895" i="1"/>
  <c r="J317" i="5"/>
  <c r="O300" i="5"/>
  <c r="O303" i="5" s="1"/>
  <c r="O304" i="5" s="1"/>
  <c r="H300" i="5"/>
  <c r="H303" i="5" s="1"/>
  <c r="H304" i="5" s="1"/>
  <c r="P300" i="5"/>
  <c r="P303" i="5" s="1"/>
  <c r="P304" i="5" s="1"/>
  <c r="J288" i="5"/>
  <c r="J289" i="5" s="1"/>
  <c r="J290" i="5" s="1"/>
  <c r="J291" i="5" s="1"/>
  <c r="J292" i="5" s="1"/>
  <c r="J293" i="5" s="1"/>
  <c r="J294" i="5" s="1"/>
  <c r="J295" i="5" s="1"/>
  <c r="J296" i="5" s="1"/>
  <c r="J297" i="5" s="1"/>
  <c r="J298" i="5" s="1"/>
  <c r="A1002" i="1"/>
  <c r="A968" i="1"/>
  <c r="K300" i="5"/>
  <c r="K303" i="5" s="1"/>
  <c r="K304" i="5" s="1"/>
  <c r="H893" i="1"/>
  <c r="H894" i="1" s="1"/>
  <c r="H317" i="5"/>
  <c r="A895" i="1"/>
  <c r="A896" i="1" s="1"/>
  <c r="D300" i="5"/>
  <c r="D303" i="5" s="1"/>
  <c r="D304" i="5" s="1"/>
  <c r="C317" i="5"/>
  <c r="D288" i="5"/>
  <c r="D289" i="5" s="1"/>
  <c r="D290" i="5" s="1"/>
  <c r="D291" i="5" s="1"/>
  <c r="D292" i="5" s="1"/>
  <c r="D293" i="5" s="1"/>
  <c r="D294" i="5" s="1"/>
  <c r="D295" i="5" s="1"/>
  <c r="D296" i="5" s="1"/>
  <c r="D297" i="5" s="1"/>
  <c r="D298" i="5" s="1"/>
  <c r="P317" i="5"/>
  <c r="O288" i="5"/>
  <c r="O289" i="5" s="1"/>
  <c r="O290" i="5" s="1"/>
  <c r="O291" i="5" s="1"/>
  <c r="O292" i="5" s="1"/>
  <c r="O293" i="5" s="1"/>
  <c r="O294" i="5" s="1"/>
  <c r="O295" i="5" s="1"/>
  <c r="O296" i="5" s="1"/>
  <c r="O297" i="5" s="1"/>
  <c r="O298" i="5" s="1"/>
  <c r="C300" i="5"/>
  <c r="C303" i="5" s="1"/>
  <c r="C304" i="5" s="1"/>
  <c r="F33" i="6"/>
  <c r="G33" i="6"/>
  <c r="H33" i="6" s="1"/>
  <c r="I33" i="6" s="1"/>
  <c r="K33" i="6"/>
  <c r="J33" i="6"/>
  <c r="L33" i="6"/>
  <c r="A1003" i="1" l="1"/>
  <c r="I893" i="1"/>
  <c r="I895" i="1" s="1"/>
  <c r="A907" i="1"/>
  <c r="A908" i="1" s="1"/>
  <c r="H895" i="1"/>
  <c r="A969" i="1"/>
  <c r="A1004" i="1"/>
  <c r="A970" i="1"/>
  <c r="J893" i="1"/>
  <c r="A897" i="1"/>
  <c r="I894" i="1" l="1"/>
  <c r="A909" i="1"/>
  <c r="A1005" i="1"/>
  <c r="A971" i="1"/>
  <c r="K893" i="1"/>
  <c r="A898" i="1"/>
  <c r="J894" i="1"/>
  <c r="J895" i="1"/>
  <c r="A910" i="1" l="1"/>
  <c r="A972" i="1"/>
  <c r="G896" i="1"/>
  <c r="A899" i="1"/>
  <c r="A1006" i="1"/>
  <c r="K895" i="1"/>
  <c r="K894" i="1"/>
  <c r="A911" i="1" l="1"/>
  <c r="A900" i="1"/>
  <c r="H896" i="1"/>
  <c r="A973" i="1"/>
  <c r="A1007" i="1"/>
  <c r="G898" i="1"/>
  <c r="G897" i="1"/>
  <c r="A912" i="1" l="1"/>
  <c r="H897" i="1"/>
  <c r="H898" i="1"/>
  <c r="A901" i="1"/>
  <c r="A1008" i="1"/>
  <c r="I896" i="1"/>
  <c r="A974" i="1"/>
  <c r="A913" i="1" l="1"/>
  <c r="I897" i="1"/>
  <c r="I898" i="1"/>
  <c r="A975" i="1"/>
  <c r="A1009" i="1"/>
  <c r="J896" i="1"/>
  <c r="A902" i="1"/>
  <c r="A903" i="1" l="1"/>
  <c r="K896" i="1"/>
  <c r="A976" i="1"/>
  <c r="A1010" i="1"/>
  <c r="A914" i="1"/>
  <c r="J898" i="1"/>
  <c r="J897" i="1"/>
  <c r="A915" i="1" l="1"/>
  <c r="K897" i="1"/>
  <c r="K898" i="1"/>
  <c r="A977" i="1"/>
  <c r="L896" i="1"/>
  <c r="A904" i="1"/>
  <c r="A1011" i="1"/>
  <c r="A916" i="1" l="1"/>
  <c r="G906" i="1" s="1"/>
  <c r="G899" i="1"/>
  <c r="G889" i="1"/>
  <c r="G890" i="1" s="1"/>
  <c r="A1012" i="1"/>
  <c r="A978" i="1"/>
  <c r="L898" i="1"/>
  <c r="L897" i="1"/>
  <c r="B916" i="1" l="1"/>
  <c r="H906" i="1" s="1"/>
  <c r="A934" i="1" s="1"/>
  <c r="D934" i="1" s="1"/>
  <c r="G901" i="1"/>
  <c r="G900" i="1"/>
  <c r="H911" i="1" l="1"/>
  <c r="A939" i="1" s="1"/>
  <c r="D939" i="1" s="1"/>
  <c r="H914" i="1"/>
  <c r="A942" i="1" s="1"/>
  <c r="D942" i="1" s="1"/>
  <c r="H915" i="1"/>
  <c r="A943" i="1" s="1"/>
  <c r="D943" i="1" s="1"/>
  <c r="H912" i="1"/>
  <c r="A940" i="1" s="1"/>
  <c r="D940" i="1" s="1"/>
  <c r="H913" i="1"/>
  <c r="A941" i="1" s="1"/>
  <c r="D941" i="1" s="1"/>
  <c r="H908" i="1"/>
  <c r="A936" i="1" s="1"/>
  <c r="D936" i="1" s="1"/>
  <c r="H909" i="1"/>
  <c r="A937" i="1" s="1"/>
  <c r="D937" i="1" s="1"/>
  <c r="H916" i="1"/>
  <c r="H907" i="1"/>
  <c r="A935" i="1" s="1"/>
  <c r="D935" i="1" s="1"/>
  <c r="H910" i="1"/>
  <c r="A938" i="1" s="1"/>
  <c r="D938" i="1" s="1"/>
  <c r="B934" i="1"/>
  <c r="B944" i="1"/>
  <c r="G949" i="1" s="1"/>
  <c r="E980" i="1" l="1"/>
  <c r="G973" i="1" s="1"/>
  <c r="G965" i="1"/>
  <c r="G966" i="1" s="1"/>
  <c r="G917" i="1"/>
  <c r="G961" i="1"/>
  <c r="F996" i="1"/>
  <c r="L10" i="6"/>
  <c r="B1032" i="1"/>
  <c r="B1165" i="1" s="1"/>
  <c r="B1242" i="1" s="1"/>
  <c r="B1359" i="1" s="1"/>
  <c r="B1471" i="1" s="1"/>
  <c r="B1580" i="1" s="1"/>
  <c r="B1645" i="1" s="1"/>
  <c r="B1707" i="1" s="1"/>
  <c r="B1762" i="1" s="1"/>
  <c r="B1808" i="1" s="1"/>
  <c r="H1039" i="1"/>
  <c r="A1071" i="1" s="1"/>
  <c r="A301" i="5"/>
  <c r="E301" i="5" s="1"/>
  <c r="F917" i="1"/>
  <c r="E922" i="1" s="1"/>
  <c r="F921" i="1" s="1"/>
  <c r="G959" i="1"/>
  <c r="F935" i="1"/>
  <c r="G931" i="1" s="1"/>
  <c r="C951" i="1"/>
  <c r="E951" i="1" s="1"/>
  <c r="C954" i="1"/>
  <c r="E954" i="1" s="1"/>
  <c r="C936" i="1"/>
  <c r="C952" i="1"/>
  <c r="E952" i="1" s="1"/>
  <c r="C933" i="1"/>
  <c r="G947" i="1"/>
  <c r="G945" i="1"/>
  <c r="F949" i="1" s="1"/>
  <c r="C953" i="1"/>
  <c r="E953" i="1" s="1"/>
  <c r="C934" i="1"/>
  <c r="C950" i="1"/>
  <c r="E950" i="1" s="1"/>
  <c r="C949" i="1"/>
  <c r="E949" i="1" s="1"/>
  <c r="C938" i="1"/>
  <c r="G948" i="1"/>
  <c r="C948" i="1"/>
  <c r="E948" i="1" s="1"/>
  <c r="C939" i="1"/>
  <c r="C937" i="1"/>
  <c r="G951" i="1"/>
  <c r="C942" i="1"/>
  <c r="C941" i="1"/>
  <c r="C955" i="1"/>
  <c r="E955" i="1" s="1"/>
  <c r="G952" i="1"/>
  <c r="G946" i="1"/>
  <c r="C956" i="1"/>
  <c r="E956" i="1" s="1"/>
  <c r="C943" i="1"/>
  <c r="G953" i="1"/>
  <c r="C935" i="1"/>
  <c r="G950" i="1"/>
  <c r="C940" i="1"/>
  <c r="C947" i="1"/>
  <c r="C946" i="1"/>
  <c r="F943" i="1"/>
  <c r="F937" i="1"/>
  <c r="F936" i="1"/>
  <c r="F933" i="1"/>
  <c r="F938" i="1"/>
  <c r="F934" i="1"/>
  <c r="F942" i="1"/>
  <c r="F941" i="1"/>
  <c r="F939" i="1"/>
  <c r="F940" i="1"/>
  <c r="I1035" i="1" l="1"/>
  <c r="K1035" i="1"/>
  <c r="L1035" i="1"/>
  <c r="G920" i="1"/>
  <c r="C918" i="1"/>
  <c r="J301" i="5"/>
  <c r="F301" i="5"/>
  <c r="L301" i="5"/>
  <c r="B301" i="5"/>
  <c r="R301" i="5"/>
  <c r="D301" i="5"/>
  <c r="M301" i="5"/>
  <c r="G301" i="5"/>
  <c r="K301" i="5"/>
  <c r="Q301" i="5"/>
  <c r="P301" i="5"/>
  <c r="O301" i="5"/>
  <c r="C301" i="5"/>
  <c r="N301" i="5"/>
  <c r="H301" i="5"/>
  <c r="I301" i="5"/>
  <c r="H1035" i="1"/>
  <c r="J1035" i="1"/>
  <c r="H931" i="1"/>
  <c r="F950" i="1"/>
  <c r="F951" i="1" s="1"/>
  <c r="F952" i="1" s="1"/>
  <c r="F953" i="1" s="1"/>
  <c r="F954" i="1" s="1"/>
  <c r="F955" i="1" s="1"/>
  <c r="F956" i="1" s="1"/>
  <c r="F957" i="1" s="1"/>
  <c r="D951" i="1"/>
  <c r="D950" i="1"/>
  <c r="D947" i="1"/>
  <c r="D954" i="1"/>
  <c r="D952" i="1"/>
  <c r="D948" i="1"/>
  <c r="H950" i="1"/>
  <c r="D946" i="1"/>
  <c r="D956" i="1"/>
  <c r="H948" i="1"/>
  <c r="D953" i="1"/>
  <c r="D949" i="1"/>
  <c r="D955" i="1"/>
  <c r="H949" i="1"/>
  <c r="H947" i="1"/>
  <c r="H945" i="1"/>
  <c r="H951" i="1"/>
  <c r="G939" i="1"/>
  <c r="H939" i="1"/>
  <c r="H946" i="1"/>
  <c r="H953" i="1"/>
  <c r="H952" i="1"/>
  <c r="G938" i="1"/>
  <c r="H938" i="1"/>
  <c r="G935" i="1"/>
  <c r="H935" i="1"/>
  <c r="G936" i="1"/>
  <c r="H936" i="1"/>
  <c r="G930" i="1"/>
  <c r="H930" i="1"/>
  <c r="G932" i="1"/>
  <c r="H932" i="1"/>
  <c r="G921" i="1"/>
  <c r="C920" i="1"/>
  <c r="G934" i="1"/>
  <c r="H934" i="1"/>
  <c r="G933" i="1"/>
  <c r="H933" i="1"/>
  <c r="H937" i="1"/>
  <c r="G937" i="1"/>
  <c r="G929" i="1"/>
  <c r="H929" i="1"/>
  <c r="H943" i="1"/>
  <c r="H944" i="1"/>
  <c r="B921" i="1" l="1"/>
  <c r="A922" i="1"/>
  <c r="C922" i="1" s="1"/>
  <c r="A931" i="1"/>
  <c r="B931" i="1" s="1"/>
  <c r="C931" i="1" s="1"/>
  <c r="A929" i="1"/>
  <c r="A928" i="1"/>
  <c r="B922" i="1"/>
  <c r="A925" i="1"/>
  <c r="B927" i="1"/>
  <c r="B925" i="1"/>
  <c r="B926" i="1"/>
  <c r="B930" i="1"/>
  <c r="A927" i="1"/>
  <c r="A930" i="1"/>
  <c r="B923" i="1"/>
  <c r="B929" i="1"/>
  <c r="A921" i="1"/>
  <c r="C921" i="1" s="1"/>
  <c r="D921" i="1" s="1"/>
  <c r="A924" i="1"/>
  <c r="A923" i="1"/>
  <c r="C923" i="1" s="1"/>
  <c r="A926" i="1"/>
  <c r="B924" i="1"/>
  <c r="B928" i="1"/>
  <c r="F960" i="1"/>
  <c r="G956" i="1" s="1"/>
  <c r="I942" i="1"/>
  <c r="J941" i="1"/>
  <c r="H941" i="1"/>
  <c r="D945" i="1"/>
  <c r="J942" i="1"/>
  <c r="K942" i="1"/>
  <c r="L942" i="1"/>
  <c r="I941" i="1"/>
  <c r="H942" i="1"/>
  <c r="K941" i="1"/>
  <c r="G941" i="1"/>
  <c r="G942" i="1"/>
  <c r="G955" i="1"/>
  <c r="F959" i="1"/>
  <c r="G923" i="1"/>
  <c r="G922" i="1"/>
  <c r="C928" i="1" l="1"/>
  <c r="A963" i="1"/>
  <c r="B963" i="1" s="1"/>
  <c r="C930" i="1"/>
  <c r="A961" i="1"/>
  <c r="B961" i="1" s="1"/>
  <c r="A965" i="1"/>
  <c r="B965" i="1" s="1"/>
  <c r="A962" i="1"/>
  <c r="B962" i="1" s="1"/>
  <c r="C929" i="1"/>
  <c r="A960" i="1"/>
  <c r="B960" i="1" s="1"/>
  <c r="A964" i="1"/>
  <c r="B964" i="1" s="1"/>
  <c r="F965" i="1"/>
  <c r="D962" i="1"/>
  <c r="E962" i="1" s="1"/>
  <c r="D922" i="1"/>
  <c r="D923" i="1" s="1"/>
  <c r="C924" i="1" s="1"/>
  <c r="D924" i="1" s="1"/>
  <c r="C925" i="1" s="1"/>
  <c r="D925" i="1" s="1"/>
  <c r="C926" i="1" s="1"/>
  <c r="D926" i="1" s="1"/>
  <c r="C927" i="1" s="1"/>
  <c r="C24" i="6"/>
  <c r="L11" i="6"/>
  <c r="D306" i="5" l="1"/>
  <c r="E983" i="1"/>
  <c r="G974" i="1" s="1"/>
  <c r="L14" i="6"/>
  <c r="F967" i="1"/>
  <c r="C995" i="1" s="1"/>
  <c r="F966" i="1"/>
  <c r="C994" i="1" s="1"/>
  <c r="F963" i="1"/>
  <c r="F964" i="1"/>
  <c r="B978" i="1" l="1"/>
  <c r="D961" i="1"/>
  <c r="E961" i="1" s="1"/>
  <c r="C306" i="5"/>
  <c r="G962" i="1"/>
  <c r="E982" i="1"/>
  <c r="I973" i="1" s="1"/>
  <c r="L13" i="6"/>
  <c r="L12" i="6"/>
  <c r="B973" i="1"/>
  <c r="B968" i="1"/>
  <c r="B969" i="1"/>
  <c r="G960" i="1"/>
  <c r="B306" i="5"/>
  <c r="E981" i="1"/>
  <c r="H973" i="1" s="1"/>
  <c r="B975" i="1"/>
  <c r="B976" i="1"/>
  <c r="B971" i="1"/>
  <c r="B974" i="1"/>
  <c r="B972" i="1"/>
  <c r="B967" i="1"/>
  <c r="B977" i="1"/>
  <c r="D960" i="1"/>
  <c r="E960" i="1" s="1"/>
  <c r="B970" i="1"/>
  <c r="D963" i="1" l="1"/>
  <c r="E964" i="1" s="1"/>
  <c r="L307" i="5"/>
  <c r="P307" i="5"/>
  <c r="G307" i="5"/>
  <c r="N307" i="5"/>
  <c r="C307" i="5"/>
  <c r="F307" i="5"/>
  <c r="D307" i="5"/>
  <c r="B307" i="5"/>
  <c r="K307" i="5"/>
  <c r="E307" i="5"/>
  <c r="J307" i="5"/>
  <c r="I307" i="5"/>
  <c r="O307" i="5"/>
  <c r="R307" i="5"/>
  <c r="Q307" i="5"/>
  <c r="H307" i="5"/>
  <c r="M307" i="5"/>
  <c r="H966" i="1"/>
  <c r="A983" i="1" s="1"/>
  <c r="B983" i="1" s="1"/>
  <c r="H965" i="1"/>
  <c r="A982" i="1" l="1"/>
  <c r="B982" i="1" s="1"/>
  <c r="F971" i="1"/>
  <c r="F972" i="1" s="1"/>
  <c r="B984" i="1" l="1"/>
  <c r="G968" i="1"/>
  <c r="G969" i="1" s="1"/>
  <c r="G970" i="1" l="1"/>
  <c r="E984" i="1" s="1"/>
  <c r="E985" i="1" l="1"/>
  <c r="H982" i="1" s="1"/>
  <c r="H974" i="1"/>
  <c r="H981" i="1" l="1"/>
  <c r="H977" i="1"/>
  <c r="H979" i="1"/>
  <c r="H978" i="1"/>
  <c r="H980" i="1"/>
  <c r="I974" i="1"/>
  <c r="C977" i="1" s="1"/>
  <c r="D994" i="1"/>
  <c r="G986" i="1"/>
  <c r="L15" i="6"/>
  <c r="A308" i="5"/>
  <c r="C308" i="5" s="1"/>
  <c r="G983" i="1"/>
  <c r="B1034" i="1"/>
  <c r="C972" i="1" l="1"/>
  <c r="C978" i="1"/>
  <c r="C969" i="1"/>
  <c r="C968" i="1"/>
  <c r="C971" i="1"/>
  <c r="C970" i="1"/>
  <c r="C974" i="1"/>
  <c r="C976" i="1"/>
  <c r="C967" i="1"/>
  <c r="C973" i="1"/>
  <c r="C975" i="1"/>
  <c r="O308" i="5"/>
  <c r="Q308" i="5"/>
  <c r="D308" i="5"/>
  <c r="I308" i="5"/>
  <c r="K308" i="5"/>
  <c r="E308" i="5"/>
  <c r="L308" i="5"/>
  <c r="G308" i="5"/>
  <c r="M308" i="5"/>
  <c r="F308" i="5"/>
  <c r="P308" i="5"/>
  <c r="R308" i="5"/>
  <c r="H308" i="5"/>
  <c r="J308" i="5"/>
  <c r="B308" i="5"/>
  <c r="N308" i="5"/>
  <c r="B1167" i="1"/>
  <c r="B1244" i="1" s="1"/>
  <c r="B1361" i="1" s="1"/>
  <c r="B1473" i="1" s="1"/>
  <c r="B1583" i="1" s="1"/>
  <c r="B1648" i="1" s="1"/>
  <c r="B1710" i="1" s="1"/>
  <c r="B1765" i="1" s="1"/>
  <c r="B1811" i="1" s="1"/>
  <c r="I1036" i="1"/>
  <c r="K1036" i="1"/>
  <c r="J1036" i="1"/>
  <c r="L1036" i="1"/>
  <c r="H1036" i="1"/>
  <c r="H975" i="1" l="1"/>
  <c r="A309" i="5"/>
  <c r="A310" i="5" s="1"/>
  <c r="G987" i="1" s="1"/>
  <c r="G988" i="1" l="1"/>
  <c r="G989" i="1" s="1"/>
  <c r="G992" i="1" s="1"/>
  <c r="G993" i="1"/>
  <c r="A320" i="5" s="1"/>
  <c r="G991" i="1" l="1"/>
  <c r="A318" i="5" s="1"/>
  <c r="I318" i="5" s="1"/>
  <c r="A41" i="6"/>
  <c r="A319" i="5"/>
  <c r="H996" i="1"/>
  <c r="E1016" i="1" s="1"/>
  <c r="E1022" i="1" s="1"/>
  <c r="I996" i="1"/>
  <c r="D312" i="5" s="1"/>
  <c r="A42" i="6"/>
  <c r="L318" i="5" l="1"/>
  <c r="L319" i="5" s="1"/>
  <c r="L320" i="5" s="1"/>
  <c r="L321" i="5" s="1"/>
  <c r="I319" i="5"/>
  <c r="I320" i="5" s="1"/>
  <c r="I321" i="5" s="1"/>
  <c r="K318" i="5"/>
  <c r="K319" i="5" s="1"/>
  <c r="K320" i="5" s="1"/>
  <c r="M318" i="5"/>
  <c r="M319" i="5" s="1"/>
  <c r="M320" i="5" s="1"/>
  <c r="M321" i="5" s="1"/>
  <c r="H318" i="5"/>
  <c r="H319" i="5" s="1"/>
  <c r="H320" i="5" s="1"/>
  <c r="H321" i="5" s="1"/>
  <c r="J318" i="5"/>
  <c r="J319" i="5" s="1"/>
  <c r="J320" i="5" s="1"/>
  <c r="Q318" i="5"/>
  <c r="Q319" i="5" s="1"/>
  <c r="Q320" i="5" s="1"/>
  <c r="Q321" i="5" s="1"/>
  <c r="G318" i="5"/>
  <c r="G319" i="5" s="1"/>
  <c r="G320" i="5" s="1"/>
  <c r="P318" i="5"/>
  <c r="P319" i="5" s="1"/>
  <c r="P320" i="5" s="1"/>
  <c r="B318" i="5"/>
  <c r="B319" i="5" s="1"/>
  <c r="B320" i="5" s="1"/>
  <c r="B321" i="5" s="1"/>
  <c r="N318" i="5"/>
  <c r="N319" i="5" s="1"/>
  <c r="N320" i="5" s="1"/>
  <c r="N321" i="5" s="1"/>
  <c r="A40" i="6"/>
  <c r="L17" i="6" s="1"/>
  <c r="O318" i="5"/>
  <c r="O319" i="5" s="1"/>
  <c r="O320" i="5" s="1"/>
  <c r="D318" i="5"/>
  <c r="D319" i="5" s="1"/>
  <c r="D320" i="5" s="1"/>
  <c r="R318" i="5"/>
  <c r="R319" i="5" s="1"/>
  <c r="R320" i="5" s="1"/>
  <c r="F318" i="5"/>
  <c r="F319" i="5" s="1"/>
  <c r="F320" i="5" s="1"/>
  <c r="F321" i="5" s="1"/>
  <c r="G996" i="1"/>
  <c r="B1005" i="1" s="1"/>
  <c r="E318" i="5"/>
  <c r="E319" i="5" s="1"/>
  <c r="E320" i="5" s="1"/>
  <c r="E321" i="5" s="1"/>
  <c r="C318" i="5"/>
  <c r="C319" i="5" s="1"/>
  <c r="C320" i="5" s="1"/>
  <c r="C312" i="5"/>
  <c r="B1012" i="1"/>
  <c r="F1008" i="1"/>
  <c r="F1005" i="1"/>
  <c r="F1009" i="1"/>
  <c r="F1007" i="1"/>
  <c r="E1017" i="1"/>
  <c r="E1023" i="1" s="1"/>
  <c r="F1004" i="1"/>
  <c r="F1006" i="1"/>
  <c r="F1003" i="1"/>
  <c r="B1010" i="1" l="1"/>
  <c r="B312" i="5"/>
  <c r="O313" i="5" s="1"/>
  <c r="O314" i="5" s="1"/>
  <c r="B1008" i="1"/>
  <c r="B1011" i="1"/>
  <c r="B1009" i="1"/>
  <c r="B1004" i="1"/>
  <c r="B1002" i="1"/>
  <c r="B1003" i="1"/>
  <c r="B1001" i="1"/>
  <c r="E1015" i="1"/>
  <c r="E1021" i="1" s="1"/>
  <c r="B1006" i="1"/>
  <c r="B1007" i="1"/>
  <c r="C321" i="5"/>
  <c r="O321" i="5"/>
  <c r="G321" i="5"/>
  <c r="K321" i="5"/>
  <c r="P321" i="5"/>
  <c r="J321" i="5"/>
  <c r="R321" i="5"/>
  <c r="D321" i="5"/>
  <c r="F313" i="5" l="1"/>
  <c r="F314" i="5" s="1"/>
  <c r="N313" i="5"/>
  <c r="N314" i="5" s="1"/>
  <c r="I313" i="5"/>
  <c r="I314" i="5" s="1"/>
  <c r="Q313" i="5"/>
  <c r="Q314" i="5" s="1"/>
  <c r="D313" i="5"/>
  <c r="D314" i="5" s="1"/>
  <c r="R313" i="5"/>
  <c r="R314" i="5" s="1"/>
  <c r="M313" i="5"/>
  <c r="M314" i="5" s="1"/>
  <c r="H313" i="5"/>
  <c r="H314" i="5" s="1"/>
  <c r="E313" i="5"/>
  <c r="E314" i="5" s="1"/>
  <c r="J313" i="5"/>
  <c r="J314" i="5" s="1"/>
  <c r="C313" i="5"/>
  <c r="C314" i="5" s="1"/>
  <c r="P313" i="5"/>
  <c r="P314" i="5" s="1"/>
  <c r="K313" i="5"/>
  <c r="K314" i="5" s="1"/>
  <c r="B313" i="5"/>
  <c r="B314" i="5" s="1"/>
  <c r="G313" i="5"/>
  <c r="G314" i="5" s="1"/>
  <c r="L313" i="5"/>
  <c r="L314" i="5" s="1"/>
  <c r="E1003" i="1"/>
  <c r="A1017" i="1"/>
  <c r="E1011" i="1" s="1"/>
  <c r="F1011" i="1" s="1"/>
  <c r="E1009" i="1"/>
  <c r="E1004" i="1"/>
  <c r="E1007" i="1"/>
  <c r="E1005" i="1"/>
  <c r="E1008" i="1"/>
  <c r="E1006" i="1"/>
  <c r="C315" i="5" l="1"/>
  <c r="D315" i="5"/>
  <c r="E315" i="5" s="1"/>
  <c r="G315" i="5" s="1"/>
  <c r="B315" i="5"/>
  <c r="E1010" i="1"/>
  <c r="F1010" i="1" s="1"/>
  <c r="F315" i="5" l="1"/>
  <c r="A315" i="5" s="1"/>
  <c r="D999" i="1" s="1"/>
  <c r="E999" i="1" s="1"/>
  <c r="G1025" i="1" s="1"/>
  <c r="G1024" i="1" s="1"/>
  <c r="G998" i="1" l="1"/>
  <c r="G999" i="1"/>
  <c r="G1000" i="1"/>
  <c r="H1000" i="1" s="1"/>
  <c r="G1001" i="1" l="1"/>
  <c r="G1002" i="1" s="1"/>
  <c r="G1003" i="1" s="1"/>
  <c r="H1003" i="1" s="1"/>
  <c r="G1020" i="1"/>
  <c r="G1004" i="1" l="1"/>
  <c r="H1004" i="1" s="1"/>
  <c r="H1001" i="1"/>
  <c r="H1002" i="1"/>
  <c r="G1005" i="1" l="1"/>
  <c r="H1005" i="1" s="1"/>
  <c r="G1006" i="1" l="1"/>
  <c r="H1006" i="1" s="1"/>
  <c r="G1007" i="1" l="1"/>
  <c r="H1007" i="1" s="1"/>
  <c r="G1008" i="1" l="1"/>
  <c r="H1008" i="1" s="1"/>
  <c r="F1016" i="1" s="1"/>
  <c r="F1017" i="1" l="1"/>
  <c r="F1015" i="1"/>
  <c r="F1018" i="1" l="1"/>
  <c r="F1020" i="1"/>
  <c r="F1019" i="1"/>
  <c r="E1018" i="1" l="1"/>
  <c r="E1019" i="1" s="1"/>
  <c r="G1010" i="1" l="1"/>
  <c r="A39" i="6" s="1"/>
  <c r="G1011" i="1" l="1"/>
  <c r="G1012" i="1" s="1"/>
  <c r="H1012" i="1" s="1"/>
  <c r="F1023" i="1" s="1"/>
  <c r="F1022" i="1" l="1"/>
  <c r="F1021" i="1"/>
  <c r="F1026" i="1" l="1"/>
  <c r="G1019" i="1"/>
  <c r="A325" i="5" s="1"/>
  <c r="O325" i="5" s="1"/>
  <c r="F1024" i="1"/>
  <c r="G1018" i="1"/>
  <c r="F1025" i="1"/>
  <c r="G1014" i="1" l="1"/>
  <c r="G1015" i="1" s="1"/>
  <c r="G1016" i="1" s="1"/>
  <c r="I325" i="5"/>
  <c r="I326" i="5" s="1"/>
  <c r="I327" i="5" s="1"/>
  <c r="I328" i="5" s="1"/>
  <c r="I329" i="5" s="1"/>
  <c r="I330" i="5" s="1"/>
  <c r="I331" i="5" s="1"/>
  <c r="I332" i="5" s="1"/>
  <c r="I333" i="5" s="1"/>
  <c r="I334" i="5" s="1"/>
  <c r="I335" i="5" s="1"/>
  <c r="M325" i="5"/>
  <c r="M326" i="5" s="1"/>
  <c r="M327" i="5" s="1"/>
  <c r="M328" i="5" s="1"/>
  <c r="M329" i="5" s="1"/>
  <c r="M330" i="5" s="1"/>
  <c r="M331" i="5" s="1"/>
  <c r="M332" i="5" s="1"/>
  <c r="M333" i="5" s="1"/>
  <c r="M334" i="5" s="1"/>
  <c r="M335" i="5" s="1"/>
  <c r="G1022" i="1"/>
  <c r="Q325" i="5"/>
  <c r="Q326" i="5" s="1"/>
  <c r="Q327" i="5" s="1"/>
  <c r="Q328" i="5" s="1"/>
  <c r="Q329" i="5" s="1"/>
  <c r="Q330" i="5" s="1"/>
  <c r="Q331" i="5" s="1"/>
  <c r="Q332" i="5" s="1"/>
  <c r="Q333" i="5" s="1"/>
  <c r="Q334" i="5" s="1"/>
  <c r="Q335" i="5" s="1"/>
  <c r="L325" i="5"/>
  <c r="L346" i="5" s="1"/>
  <c r="J325" i="5"/>
  <c r="J326" i="5" s="1"/>
  <c r="J327" i="5" s="1"/>
  <c r="J328" i="5" s="1"/>
  <c r="J329" i="5" s="1"/>
  <c r="J330" i="5" s="1"/>
  <c r="J331" i="5" s="1"/>
  <c r="J332" i="5" s="1"/>
  <c r="J333" i="5" s="1"/>
  <c r="J334" i="5" s="1"/>
  <c r="J335" i="5" s="1"/>
  <c r="R325" i="5"/>
  <c r="R346" i="5" s="1"/>
  <c r="H325" i="5"/>
  <c r="H326" i="5" s="1"/>
  <c r="H327" i="5" s="1"/>
  <c r="H328" i="5" s="1"/>
  <c r="H329" i="5" s="1"/>
  <c r="H330" i="5" s="1"/>
  <c r="H331" i="5" s="1"/>
  <c r="H332" i="5" s="1"/>
  <c r="H333" i="5" s="1"/>
  <c r="H334" i="5" s="1"/>
  <c r="H335" i="5" s="1"/>
  <c r="A1031" i="1"/>
  <c r="G1028" i="1" s="1"/>
  <c r="G1029" i="1" s="1"/>
  <c r="P325" i="5"/>
  <c r="P337" i="5" s="1"/>
  <c r="L39" i="6"/>
  <c r="L40" i="6" s="1"/>
  <c r="F325" i="5"/>
  <c r="F326" i="5" s="1"/>
  <c r="F327" i="5" s="1"/>
  <c r="F328" i="5" s="1"/>
  <c r="F329" i="5" s="1"/>
  <c r="F330" i="5" s="1"/>
  <c r="F331" i="5" s="1"/>
  <c r="F332" i="5" s="1"/>
  <c r="F333" i="5" s="1"/>
  <c r="F334" i="5" s="1"/>
  <c r="F335" i="5" s="1"/>
  <c r="K325" i="5"/>
  <c r="K337" i="5" s="1"/>
  <c r="B325" i="5"/>
  <c r="B337" i="5" s="1"/>
  <c r="N325" i="5"/>
  <c r="N326" i="5" s="1"/>
  <c r="N327" i="5" s="1"/>
  <c r="N328" i="5" s="1"/>
  <c r="N329" i="5" s="1"/>
  <c r="N330" i="5" s="1"/>
  <c r="N331" i="5" s="1"/>
  <c r="N332" i="5" s="1"/>
  <c r="N333" i="5" s="1"/>
  <c r="N334" i="5" s="1"/>
  <c r="N335" i="5" s="1"/>
  <c r="F1053" i="1"/>
  <c r="D325" i="5"/>
  <c r="D326" i="5" s="1"/>
  <c r="D327" i="5" s="1"/>
  <c r="D328" i="5" s="1"/>
  <c r="D329" i="5" s="1"/>
  <c r="D330" i="5" s="1"/>
  <c r="D331" i="5" s="1"/>
  <c r="D332" i="5" s="1"/>
  <c r="D333" i="5" s="1"/>
  <c r="D334" i="5" s="1"/>
  <c r="D335" i="5" s="1"/>
  <c r="E325" i="5"/>
  <c r="E346" i="5" s="1"/>
  <c r="C325" i="5"/>
  <c r="C326" i="5" s="1"/>
  <c r="C327" i="5" s="1"/>
  <c r="C328" i="5" s="1"/>
  <c r="C329" i="5" s="1"/>
  <c r="C330" i="5" s="1"/>
  <c r="C331" i="5" s="1"/>
  <c r="C332" i="5" s="1"/>
  <c r="C333" i="5" s="1"/>
  <c r="C334" i="5" s="1"/>
  <c r="C335" i="5" s="1"/>
  <c r="G325" i="5"/>
  <c r="G346" i="5" s="1"/>
  <c r="A1100" i="1"/>
  <c r="A1118" i="1" s="1"/>
  <c r="O337" i="5"/>
  <c r="O346" i="5"/>
  <c r="O326" i="5"/>
  <c r="O327" i="5" s="1"/>
  <c r="O328" i="5" s="1"/>
  <c r="O329" i="5" s="1"/>
  <c r="O330" i="5" s="1"/>
  <c r="O331" i="5" s="1"/>
  <c r="O332" i="5" s="1"/>
  <c r="O333" i="5" s="1"/>
  <c r="O334" i="5" s="1"/>
  <c r="O335" i="5" s="1"/>
  <c r="J337" i="5" l="1"/>
  <c r="M337" i="5"/>
  <c r="I337" i="5"/>
  <c r="M346" i="5"/>
  <c r="J346" i="5"/>
  <c r="P326" i="5"/>
  <c r="P327" i="5" s="1"/>
  <c r="P328" i="5" s="1"/>
  <c r="P329" i="5" s="1"/>
  <c r="P330" i="5" s="1"/>
  <c r="P331" i="5" s="1"/>
  <c r="P332" i="5" s="1"/>
  <c r="P333" i="5" s="1"/>
  <c r="P334" i="5" s="1"/>
  <c r="P335" i="5" s="1"/>
  <c r="B326" i="5"/>
  <c r="B327" i="5" s="1"/>
  <c r="B328" i="5" s="1"/>
  <c r="B329" i="5" s="1"/>
  <c r="B330" i="5" s="1"/>
  <c r="B331" i="5" s="1"/>
  <c r="B332" i="5" s="1"/>
  <c r="B333" i="5" s="1"/>
  <c r="B334" i="5" s="1"/>
  <c r="B335" i="5" s="1"/>
  <c r="R326" i="5"/>
  <c r="R327" i="5" s="1"/>
  <c r="R328" i="5" s="1"/>
  <c r="R329" i="5" s="1"/>
  <c r="R330" i="5" s="1"/>
  <c r="R331" i="5" s="1"/>
  <c r="R332" i="5" s="1"/>
  <c r="R333" i="5" s="1"/>
  <c r="R334" i="5" s="1"/>
  <c r="R335" i="5" s="1"/>
  <c r="R337" i="5"/>
  <c r="E326" i="5"/>
  <c r="E327" i="5" s="1"/>
  <c r="E328" i="5" s="1"/>
  <c r="E329" i="5" s="1"/>
  <c r="E330" i="5" s="1"/>
  <c r="E331" i="5" s="1"/>
  <c r="E332" i="5" s="1"/>
  <c r="E333" i="5" s="1"/>
  <c r="E334" i="5" s="1"/>
  <c r="E335" i="5" s="1"/>
  <c r="E337" i="5"/>
  <c r="P346" i="5"/>
  <c r="B346" i="5"/>
  <c r="G337" i="5"/>
  <c r="H346" i="5"/>
  <c r="I346" i="5"/>
  <c r="C337" i="5"/>
  <c r="D337" i="5"/>
  <c r="L337" i="5"/>
  <c r="K326" i="5"/>
  <c r="K327" i="5" s="1"/>
  <c r="K328" i="5" s="1"/>
  <c r="K329" i="5" s="1"/>
  <c r="K330" i="5" s="1"/>
  <c r="K331" i="5" s="1"/>
  <c r="K332" i="5" s="1"/>
  <c r="K333" i="5" s="1"/>
  <c r="K334" i="5" s="1"/>
  <c r="K335" i="5" s="1"/>
  <c r="F346" i="5"/>
  <c r="F337" i="5"/>
  <c r="Q346" i="5"/>
  <c r="G326" i="5"/>
  <c r="G327" i="5" s="1"/>
  <c r="G328" i="5" s="1"/>
  <c r="G329" i="5" s="1"/>
  <c r="G330" i="5" s="1"/>
  <c r="G331" i="5" s="1"/>
  <c r="G332" i="5" s="1"/>
  <c r="G333" i="5" s="1"/>
  <c r="G334" i="5" s="1"/>
  <c r="G335" i="5" s="1"/>
  <c r="H337" i="5"/>
  <c r="Q337" i="5"/>
  <c r="D346" i="5"/>
  <c r="K346" i="5"/>
  <c r="C346" i="5"/>
  <c r="G1030" i="1"/>
  <c r="A1135" i="1"/>
  <c r="L326" i="5"/>
  <c r="L327" i="5" s="1"/>
  <c r="L328" i="5" s="1"/>
  <c r="L329" i="5" s="1"/>
  <c r="L330" i="5" s="1"/>
  <c r="L331" i="5" s="1"/>
  <c r="L332" i="5" s="1"/>
  <c r="L333" i="5" s="1"/>
  <c r="L334" i="5" s="1"/>
  <c r="L335" i="5" s="1"/>
  <c r="A1032" i="1"/>
  <c r="A1044" i="1" s="1"/>
  <c r="N346" i="5"/>
  <c r="N337" i="5"/>
  <c r="A1136" i="1" l="1"/>
  <c r="A1101" i="1"/>
  <c r="A1119" i="1" s="1"/>
  <c r="A1033" i="1"/>
  <c r="A1034" i="1" s="1"/>
  <c r="A1103" i="1" s="1"/>
  <c r="A1121" i="1" s="1"/>
  <c r="H1028" i="1"/>
  <c r="H1030" i="1" s="1"/>
  <c r="A1045" i="1" l="1"/>
  <c r="A1046" i="1" s="1"/>
  <c r="H1029" i="1"/>
  <c r="A1035" i="1"/>
  <c r="K1028" i="1" s="1"/>
  <c r="A1102" i="1"/>
  <c r="A1120" i="1" s="1"/>
  <c r="A1138" i="1"/>
  <c r="I1028" i="1"/>
  <c r="I1030" i="1" s="1"/>
  <c r="J1028" i="1"/>
  <c r="J1029" i="1" s="1"/>
  <c r="A1137" i="1"/>
  <c r="A1036" i="1" l="1"/>
  <c r="A1105" i="1" s="1"/>
  <c r="A1123" i="1" s="1"/>
  <c r="A1047" i="1"/>
  <c r="A1139" i="1"/>
  <c r="J1030" i="1"/>
  <c r="I1029" i="1"/>
  <c r="A1104" i="1"/>
  <c r="A1122" i="1" s="1"/>
  <c r="K1030" i="1"/>
  <c r="K1029" i="1"/>
  <c r="A1037" i="1" l="1"/>
  <c r="A1038" i="1" s="1"/>
  <c r="A1048" i="1"/>
  <c r="A1140" i="1"/>
  <c r="G1031" i="1"/>
  <c r="G1033" i="1" s="1"/>
  <c r="H1031" i="1" l="1"/>
  <c r="H1033" i="1" s="1"/>
  <c r="A1106" i="1"/>
  <c r="A1124" i="1" s="1"/>
  <c r="A1141" i="1"/>
  <c r="A1049" i="1"/>
  <c r="A1050" i="1" s="1"/>
  <c r="G1032" i="1"/>
  <c r="A1142" i="1"/>
  <c r="I1031" i="1"/>
  <c r="A1107" i="1"/>
  <c r="A1125" i="1" s="1"/>
  <c r="A1039" i="1"/>
  <c r="H1032" i="1" l="1"/>
  <c r="A1051" i="1"/>
  <c r="J1031" i="1"/>
  <c r="A1143" i="1"/>
  <c r="A1108" i="1"/>
  <c r="A1126" i="1" s="1"/>
  <c r="A1040" i="1"/>
  <c r="I1032" i="1"/>
  <c r="I1033" i="1"/>
  <c r="J1032" i="1" l="1"/>
  <c r="J1033" i="1"/>
  <c r="A1144" i="1"/>
  <c r="K1031" i="1"/>
  <c r="A1041" i="1"/>
  <c r="A1109" i="1"/>
  <c r="A1127" i="1" s="1"/>
  <c r="A1052" i="1"/>
  <c r="K1032" i="1" l="1"/>
  <c r="K1033" i="1"/>
  <c r="A1053" i="1"/>
  <c r="A1145" i="1"/>
  <c r="A1110" i="1"/>
  <c r="A1128" i="1" s="1"/>
  <c r="L1031" i="1"/>
  <c r="D1036" i="1"/>
  <c r="G1034" i="1" s="1"/>
  <c r="G1035" i="1" l="1"/>
  <c r="G1036" i="1"/>
  <c r="E32" i="6"/>
  <c r="G1167" i="1"/>
  <c r="G1041" i="1"/>
  <c r="B1053" i="1"/>
  <c r="L1033" i="1"/>
  <c r="L1032" i="1"/>
  <c r="H1041" i="1" l="1"/>
  <c r="A1072" i="1" s="1"/>
  <c r="B1072" i="1" s="1"/>
  <c r="G1246" i="1"/>
  <c r="G1362" i="1" s="1"/>
  <c r="G1474" i="1" s="1"/>
  <c r="G1583" i="1" s="1"/>
  <c r="G1648" i="1" s="1"/>
  <c r="G1710" i="1" s="1"/>
  <c r="G1765" i="1" s="1"/>
  <c r="G1811" i="1" s="1"/>
  <c r="G1889" i="1" s="1"/>
  <c r="K32" i="6"/>
  <c r="L32" i="6"/>
  <c r="M32" i="6"/>
  <c r="F32" i="6"/>
  <c r="G32" i="6"/>
  <c r="H32" i="6" s="1"/>
  <c r="I32" i="6" s="1"/>
  <c r="J32" i="6"/>
  <c r="H1042" i="1"/>
  <c r="A1073" i="1" s="1"/>
  <c r="D1073" i="1" s="1"/>
  <c r="H1045" i="1"/>
  <c r="A1076" i="1" s="1"/>
  <c r="D1076" i="1" s="1"/>
  <c r="H1048" i="1"/>
  <c r="A1079" i="1" s="1"/>
  <c r="D1079" i="1" s="1"/>
  <c r="H1046" i="1"/>
  <c r="A1077" i="1" s="1"/>
  <c r="D1077" i="1" s="1"/>
  <c r="H1044" i="1"/>
  <c r="A1075" i="1" s="1"/>
  <c r="D1075" i="1" s="1"/>
  <c r="H1049" i="1"/>
  <c r="A1080" i="1" s="1"/>
  <c r="D1080" i="1" s="1"/>
  <c r="H1043" i="1"/>
  <c r="A1074" i="1" s="1"/>
  <c r="D1074" i="1" s="1"/>
  <c r="H1050" i="1"/>
  <c r="H1047" i="1"/>
  <c r="A1078" i="1" s="1"/>
  <c r="D1078" i="1" s="1"/>
  <c r="B1081" i="1" l="1"/>
  <c r="C1072" i="1" s="1"/>
  <c r="D1072" i="1"/>
  <c r="F1072" i="1" s="1"/>
  <c r="H1172" i="1"/>
  <c r="C1165" i="1"/>
  <c r="G1054" i="1"/>
  <c r="G1092" i="1"/>
  <c r="F1132" i="1"/>
  <c r="G1094" i="1"/>
  <c r="F1054" i="1"/>
  <c r="E1114" i="1"/>
  <c r="G1106" i="1" s="1"/>
  <c r="G1051" i="1"/>
  <c r="G1098" i="1"/>
  <c r="G1099" i="1" s="1"/>
  <c r="A338" i="5"/>
  <c r="C338" i="5" s="1"/>
  <c r="M10" i="6"/>
  <c r="C1091" i="1" l="1"/>
  <c r="E1091" i="1" s="1"/>
  <c r="C1071" i="1"/>
  <c r="C1079" i="1"/>
  <c r="C1086" i="1"/>
  <c r="E1086" i="1" s="1"/>
  <c r="G1083" i="1"/>
  <c r="G1082" i="1"/>
  <c r="C1075" i="1"/>
  <c r="C1073" i="1"/>
  <c r="G1081" i="1"/>
  <c r="G1079" i="1"/>
  <c r="F1083" i="1" s="1"/>
  <c r="C1074" i="1"/>
  <c r="C1085" i="1"/>
  <c r="E1085" i="1" s="1"/>
  <c r="G1086" i="1"/>
  <c r="C1084" i="1"/>
  <c r="E1084" i="1" s="1"/>
  <c r="C1087" i="1"/>
  <c r="E1087" i="1" s="1"/>
  <c r="C1078" i="1"/>
  <c r="C1077" i="1"/>
  <c r="C1080" i="1"/>
  <c r="C1090" i="1"/>
  <c r="E1090" i="1" s="1"/>
  <c r="C1088" i="1"/>
  <c r="E1088" i="1" s="1"/>
  <c r="G1084" i="1"/>
  <c r="G1085" i="1"/>
  <c r="C1076" i="1"/>
  <c r="G1080" i="1"/>
  <c r="C1089" i="1"/>
  <c r="E1089" i="1" s="1"/>
  <c r="F1074" i="1"/>
  <c r="G1067" i="1" s="1"/>
  <c r="F1071" i="1"/>
  <c r="G1064" i="1" s="1"/>
  <c r="F1076" i="1"/>
  <c r="F1078" i="1"/>
  <c r="G1071" i="1" s="1"/>
  <c r="C1082" i="1"/>
  <c r="C1083" i="1"/>
  <c r="F1075" i="1"/>
  <c r="G1068" i="1" s="1"/>
  <c r="F1080" i="1"/>
  <c r="G1073" i="1" s="1"/>
  <c r="F1077" i="1"/>
  <c r="G1070" i="1" s="1"/>
  <c r="F1073" i="1"/>
  <c r="G1066" i="1" s="1"/>
  <c r="F1079" i="1"/>
  <c r="G1072" i="1" s="1"/>
  <c r="E338" i="5"/>
  <c r="J338" i="5"/>
  <c r="O338" i="5"/>
  <c r="M338" i="5"/>
  <c r="I338" i="5"/>
  <c r="Q338" i="5"/>
  <c r="F338" i="5"/>
  <c r="H338" i="5"/>
  <c r="R338" i="5"/>
  <c r="P338" i="5"/>
  <c r="L338" i="5"/>
  <c r="K338" i="5"/>
  <c r="B338" i="5"/>
  <c r="G338" i="5"/>
  <c r="D338" i="5"/>
  <c r="N338" i="5"/>
  <c r="G1065" i="1"/>
  <c r="L1168" i="1"/>
  <c r="J1168" i="1"/>
  <c r="H1168" i="1"/>
  <c r="I1168" i="1"/>
  <c r="K1168" i="1"/>
  <c r="C1242" i="1"/>
  <c r="C1359" i="1" s="1"/>
  <c r="C1471" i="1" s="1"/>
  <c r="C1580" i="1" s="1"/>
  <c r="C1645" i="1" s="1"/>
  <c r="C1707" i="1" s="1"/>
  <c r="C1762" i="1" s="1"/>
  <c r="C1808" i="1" s="1"/>
  <c r="G1168" i="1"/>
  <c r="H1065" i="1" l="1"/>
  <c r="H1067" i="1"/>
  <c r="H1069" i="1"/>
  <c r="F1084" i="1"/>
  <c r="F1085" i="1" s="1"/>
  <c r="F1086" i="1" s="1"/>
  <c r="F1087" i="1" s="1"/>
  <c r="F1088" i="1" s="1"/>
  <c r="F1089" i="1" s="1"/>
  <c r="F1090" i="1" s="1"/>
  <c r="D1089" i="1"/>
  <c r="D1091" i="1"/>
  <c r="H1071" i="1"/>
  <c r="D1090" i="1"/>
  <c r="G1069" i="1"/>
  <c r="H1064" i="1"/>
  <c r="D1086" i="1"/>
  <c r="H1066" i="1"/>
  <c r="D1085" i="1"/>
  <c r="D1082" i="1"/>
  <c r="D1083" i="1"/>
  <c r="H1068" i="1"/>
  <c r="H1072" i="1"/>
  <c r="D1084" i="1"/>
  <c r="D1088" i="1"/>
  <c r="D1087" i="1"/>
  <c r="H1070" i="1"/>
  <c r="H1073" i="1"/>
  <c r="H1085" i="1"/>
  <c r="H1082" i="1"/>
  <c r="H1084" i="1"/>
  <c r="H1086" i="1"/>
  <c r="H1083" i="1"/>
  <c r="A1067" i="1"/>
  <c r="B1067" i="1"/>
  <c r="H1077" i="1"/>
  <c r="H1078" i="1"/>
  <c r="A1066" i="1"/>
  <c r="B1064" i="1"/>
  <c r="B1061" i="1"/>
  <c r="A1060" i="1"/>
  <c r="C1060" i="1" s="1"/>
  <c r="B1058" i="1"/>
  <c r="A1061" i="1"/>
  <c r="A1064" i="1"/>
  <c r="B1060" i="1"/>
  <c r="B1062" i="1"/>
  <c r="A1062" i="1"/>
  <c r="A1065" i="1"/>
  <c r="B1066" i="1"/>
  <c r="B1065" i="1"/>
  <c r="A1058" i="1"/>
  <c r="C1058" i="1" s="1"/>
  <c r="A1059" i="1"/>
  <c r="C1059" i="1" s="1"/>
  <c r="B1059" i="1"/>
  <c r="B1063" i="1"/>
  <c r="A1063" i="1"/>
  <c r="H1079" i="1"/>
  <c r="H1080" i="1"/>
  <c r="H1081" i="1"/>
  <c r="K1075" i="1" l="1"/>
  <c r="J1075" i="1"/>
  <c r="K1076" i="1"/>
  <c r="H1076" i="1"/>
  <c r="J1076" i="1"/>
  <c r="G1075" i="1"/>
  <c r="H1075" i="1"/>
  <c r="I1076" i="1"/>
  <c r="D1081" i="1"/>
  <c r="G1076" i="1"/>
  <c r="I1075" i="1"/>
  <c r="C1067" i="1"/>
  <c r="C1065" i="1"/>
  <c r="F1093" i="1"/>
  <c r="B340" i="5" s="1"/>
  <c r="A1096" i="1"/>
  <c r="A1094" i="1"/>
  <c r="A1097" i="1"/>
  <c r="A1098" i="1"/>
  <c r="A1093" i="1"/>
  <c r="A1095" i="1"/>
  <c r="C1066" i="1"/>
  <c r="D1058" i="1"/>
  <c r="D1059" i="1" s="1"/>
  <c r="D1060" i="1" s="1"/>
  <c r="C1061" i="1" s="1"/>
  <c r="D1061" i="1" s="1"/>
  <c r="F1092" i="1"/>
  <c r="M11" i="6" s="1"/>
  <c r="G1088" i="1"/>
  <c r="G1089" i="1" l="1"/>
  <c r="D1095" i="1"/>
  <c r="E1095" i="1" s="1"/>
  <c r="F1098" i="1"/>
  <c r="M14" i="6" s="1"/>
  <c r="B1098" i="1"/>
  <c r="C1062" i="1"/>
  <c r="D1062" i="1" s="1"/>
  <c r="C1063" i="1" s="1"/>
  <c r="D1063" i="1" s="1"/>
  <c r="C1064" i="1" s="1"/>
  <c r="F1061" i="1" s="1"/>
  <c r="F1066" i="1" s="1"/>
  <c r="B1097" i="1"/>
  <c r="B1095" i="1"/>
  <c r="B1094" i="1"/>
  <c r="B1093" i="1"/>
  <c r="B1096" i="1"/>
  <c r="E1117" i="1" l="1"/>
  <c r="G1107" i="1" s="1"/>
  <c r="F1059" i="1"/>
  <c r="F1064" i="1" s="1"/>
  <c r="F1062" i="1"/>
  <c r="F1067" i="1" s="1"/>
  <c r="F1060" i="1"/>
  <c r="F1065" i="1" s="1"/>
  <c r="F1096" i="1"/>
  <c r="F1099" i="1"/>
  <c r="C1127" i="1" s="1"/>
  <c r="F1097" i="1"/>
  <c r="F1100" i="1"/>
  <c r="C1128" i="1" s="1"/>
  <c r="B1110" i="1" l="1"/>
  <c r="M2" i="6"/>
  <c r="F1068" i="1"/>
  <c r="G1061" i="1" s="1"/>
  <c r="G1057" i="1"/>
  <c r="G1095" i="1"/>
  <c r="D340" i="5" s="1"/>
  <c r="D1094" i="1"/>
  <c r="E1094" i="1" s="1"/>
  <c r="M13" i="6"/>
  <c r="E1116" i="1"/>
  <c r="I1106" i="1" s="1"/>
  <c r="D1093" i="1"/>
  <c r="E1093" i="1" s="1"/>
  <c r="B1103" i="1"/>
  <c r="B1107" i="1"/>
  <c r="B1109" i="1"/>
  <c r="M12" i="6"/>
  <c r="E1115" i="1"/>
  <c r="H1106" i="1" s="1"/>
  <c r="B1104" i="1"/>
  <c r="B1106" i="1"/>
  <c r="G1093" i="1"/>
  <c r="C340" i="5" s="1"/>
  <c r="B1100" i="1"/>
  <c r="B1101" i="1"/>
  <c r="B1105" i="1"/>
  <c r="B1108" i="1"/>
  <c r="B1102" i="1"/>
  <c r="G1060" i="1" l="1"/>
  <c r="M7" i="6"/>
  <c r="D1096" i="1"/>
  <c r="E1097" i="1" s="1"/>
  <c r="H1098" i="1"/>
  <c r="H1099" i="1"/>
  <c r="A1116" i="1" s="1"/>
  <c r="B1116" i="1" s="1"/>
  <c r="M341" i="5"/>
  <c r="L341" i="5"/>
  <c r="B341" i="5"/>
  <c r="P341" i="5"/>
  <c r="K341" i="5"/>
  <c r="N341" i="5"/>
  <c r="E341" i="5"/>
  <c r="H341" i="5"/>
  <c r="Q341" i="5"/>
  <c r="D341" i="5"/>
  <c r="G341" i="5"/>
  <c r="C341" i="5"/>
  <c r="J341" i="5"/>
  <c r="O341" i="5"/>
  <c r="I341" i="5"/>
  <c r="F341" i="5"/>
  <c r="R341" i="5"/>
  <c r="A1115" i="1" l="1"/>
  <c r="B1115" i="1" s="1"/>
  <c r="F1104" i="1"/>
  <c r="F1105" i="1" s="1"/>
  <c r="B1117" i="1" l="1"/>
  <c r="G1101" i="1"/>
  <c r="G1102" i="1" s="1"/>
  <c r="G1103" i="1" s="1"/>
  <c r="E1119" i="1" l="1"/>
  <c r="E1118" i="1"/>
  <c r="E1130" i="1" l="1"/>
  <c r="G1115" i="1" s="1"/>
  <c r="E1128" i="1"/>
  <c r="E1126" i="1"/>
  <c r="G1110" i="1" s="1"/>
  <c r="E1129" i="1"/>
  <c r="G1114" i="1" s="1"/>
  <c r="E1127" i="1"/>
  <c r="G1111" i="1" s="1"/>
  <c r="H1107" i="1"/>
  <c r="I1107" i="1"/>
  <c r="E1131" i="1"/>
  <c r="B1128" i="1" l="1"/>
  <c r="G1118" i="1"/>
  <c r="B1118" i="1"/>
  <c r="B1124" i="1"/>
  <c r="B1120" i="1"/>
  <c r="B1126" i="1"/>
  <c r="B1121" i="1"/>
  <c r="B1127" i="1"/>
  <c r="B1123" i="1"/>
  <c r="B1119" i="1"/>
  <c r="B1122" i="1"/>
  <c r="B1125" i="1"/>
  <c r="G1116" i="1"/>
  <c r="D1110" i="1"/>
  <c r="D1100" i="1"/>
  <c r="D1101" i="1"/>
  <c r="D1103" i="1"/>
  <c r="D1102" i="1"/>
  <c r="D1104" i="1"/>
  <c r="D1105" i="1"/>
  <c r="D1106" i="1"/>
  <c r="D1107" i="1"/>
  <c r="D1108" i="1"/>
  <c r="D1109" i="1"/>
  <c r="G1112" i="1"/>
  <c r="C1100" i="1"/>
  <c r="C1110" i="1"/>
  <c r="C1101" i="1"/>
  <c r="C1106" i="1"/>
  <c r="C1104" i="1"/>
  <c r="C1105" i="1"/>
  <c r="C1108" i="1"/>
  <c r="C1102" i="1"/>
  <c r="C1107" i="1"/>
  <c r="C1109" i="1"/>
  <c r="C1103" i="1"/>
  <c r="G1117" i="1"/>
  <c r="D1127" i="1"/>
  <c r="M15" i="6"/>
  <c r="A342" i="5"/>
  <c r="C1167" i="1"/>
  <c r="G1122" i="1"/>
  <c r="C1122" i="1" l="1"/>
  <c r="C1121" i="1"/>
  <c r="C1120" i="1"/>
  <c r="C1119" i="1"/>
  <c r="C1118" i="1"/>
  <c r="D1115" i="1"/>
  <c r="G1113" i="1" s="1"/>
  <c r="C342" i="5"/>
  <c r="H342" i="5"/>
  <c r="H1108" i="1"/>
  <c r="P342" i="5"/>
  <c r="M342" i="5"/>
  <c r="I342" i="5"/>
  <c r="E342" i="5"/>
  <c r="O342" i="5"/>
  <c r="J342" i="5"/>
  <c r="D342" i="5"/>
  <c r="L342" i="5"/>
  <c r="R342" i="5"/>
  <c r="B342" i="5"/>
  <c r="N342" i="5"/>
  <c r="Q342" i="5"/>
  <c r="F342" i="5"/>
  <c r="K342" i="5"/>
  <c r="G342" i="5"/>
  <c r="K1169" i="1"/>
  <c r="I1169" i="1"/>
  <c r="C1244" i="1"/>
  <c r="C1361" i="1" s="1"/>
  <c r="C1473" i="1" s="1"/>
  <c r="C1583" i="1" s="1"/>
  <c r="C1648" i="1" s="1"/>
  <c r="C1710" i="1" s="1"/>
  <c r="C1765" i="1" s="1"/>
  <c r="C1811" i="1" s="1"/>
  <c r="H1169" i="1"/>
  <c r="G1169" i="1"/>
  <c r="L1169" i="1"/>
  <c r="J1169" i="1"/>
  <c r="D1119" i="1" l="1"/>
  <c r="D1118" i="1"/>
  <c r="D1122" i="1"/>
  <c r="D1120" i="1"/>
  <c r="D1121" i="1"/>
  <c r="A343" i="5"/>
  <c r="A344" i="5" s="1"/>
  <c r="G1123" i="1" s="1"/>
  <c r="G1124" i="1" l="1"/>
  <c r="G1125" i="1" s="1"/>
  <c r="G1129" i="1" s="1"/>
  <c r="E1124" i="1"/>
  <c r="E1123" i="1"/>
  <c r="E1121" i="1"/>
  <c r="E1122" i="1"/>
  <c r="E1120" i="1"/>
  <c r="G1127" i="1" l="1"/>
  <c r="B40" i="6" s="1"/>
  <c r="G1128" i="1"/>
  <c r="A348" i="5" s="1"/>
  <c r="I1132" i="1"/>
  <c r="F1137" i="1" s="1"/>
  <c r="A349" i="5"/>
  <c r="B42" i="6"/>
  <c r="G1119" i="1"/>
  <c r="G1132" i="1" l="1"/>
  <c r="E1145" i="1" s="1"/>
  <c r="E1151" i="1" s="1"/>
  <c r="A347" i="5"/>
  <c r="C347" i="5" s="1"/>
  <c r="C348" i="5" s="1"/>
  <c r="C349" i="5" s="1"/>
  <c r="C350" i="5" s="1"/>
  <c r="F1138" i="1"/>
  <c r="F1140" i="1"/>
  <c r="E1147" i="1"/>
  <c r="E1153" i="1" s="1"/>
  <c r="F1136" i="1"/>
  <c r="F1134" i="1"/>
  <c r="F1135" i="1"/>
  <c r="F1139" i="1"/>
  <c r="F1141" i="1"/>
  <c r="B41" i="6"/>
  <c r="M17" i="6" s="1"/>
  <c r="H1132" i="1"/>
  <c r="E1146" i="1" s="1"/>
  <c r="E1152" i="1" s="1"/>
  <c r="D347" i="5" l="1"/>
  <c r="D348" i="5" s="1"/>
  <c r="D349" i="5" s="1"/>
  <c r="G347" i="5"/>
  <c r="G348" i="5" s="1"/>
  <c r="G349" i="5" s="1"/>
  <c r="G350" i="5" s="1"/>
  <c r="Q347" i="5"/>
  <c r="Q348" i="5" s="1"/>
  <c r="Q349" i="5" s="1"/>
  <c r="Q350" i="5" s="1"/>
  <c r="K347" i="5"/>
  <c r="K348" i="5" s="1"/>
  <c r="K349" i="5" s="1"/>
  <c r="K350" i="5" s="1"/>
  <c r="I347" i="5"/>
  <c r="I348" i="5" s="1"/>
  <c r="I349" i="5" s="1"/>
  <c r="I350" i="5" s="1"/>
  <c r="M347" i="5"/>
  <c r="M348" i="5" s="1"/>
  <c r="M349" i="5" s="1"/>
  <c r="M350" i="5" s="1"/>
  <c r="R347" i="5"/>
  <c r="R348" i="5" s="1"/>
  <c r="R349" i="5" s="1"/>
  <c r="N347" i="5"/>
  <c r="N348" i="5" s="1"/>
  <c r="N349" i="5" s="1"/>
  <c r="N350" i="5" s="1"/>
  <c r="P347" i="5"/>
  <c r="P348" i="5" s="1"/>
  <c r="P349" i="5" s="1"/>
  <c r="P350" i="5" s="1"/>
  <c r="J347" i="5"/>
  <c r="J348" i="5" s="1"/>
  <c r="J349" i="5" s="1"/>
  <c r="B347" i="5"/>
  <c r="B348" i="5" s="1"/>
  <c r="B349" i="5" s="1"/>
  <c r="B350" i="5" s="1"/>
  <c r="H347" i="5"/>
  <c r="H348" i="5" s="1"/>
  <c r="H349" i="5" s="1"/>
  <c r="H350" i="5" s="1"/>
  <c r="O347" i="5"/>
  <c r="O348" i="5" s="1"/>
  <c r="O349" i="5" s="1"/>
  <c r="O350" i="5" s="1"/>
  <c r="E347" i="5"/>
  <c r="E348" i="5" s="1"/>
  <c r="E349" i="5" s="1"/>
  <c r="E350" i="5" s="1"/>
  <c r="L347" i="5"/>
  <c r="L348" i="5" s="1"/>
  <c r="L349" i="5" s="1"/>
  <c r="L350" i="5" s="1"/>
  <c r="F347" i="5"/>
  <c r="F348" i="5" s="1"/>
  <c r="F349" i="5" s="1"/>
  <c r="F350" i="5" s="1"/>
  <c r="B1138" i="1"/>
  <c r="B1136" i="1"/>
  <c r="B1142" i="1"/>
  <c r="B1143" i="1"/>
  <c r="B1137" i="1"/>
  <c r="B1140" i="1"/>
  <c r="B1139" i="1"/>
  <c r="B1141" i="1"/>
  <c r="B1145" i="1"/>
  <c r="B1144" i="1"/>
  <c r="B1135" i="1"/>
  <c r="D350" i="5" l="1"/>
  <c r="R350" i="5"/>
  <c r="E1138" i="1"/>
  <c r="G1138" i="1" s="1"/>
  <c r="E1135" i="1"/>
  <c r="G1135" i="1" s="1"/>
  <c r="E1134" i="1"/>
  <c r="G1134" i="1" s="1"/>
  <c r="G1153" i="1" s="1"/>
  <c r="A1147" i="1"/>
  <c r="E1141" i="1" s="1"/>
  <c r="G1141" i="1" s="1"/>
  <c r="E1137" i="1"/>
  <c r="G1137" i="1" s="1"/>
  <c r="E1136" i="1"/>
  <c r="G1136" i="1" s="1"/>
  <c r="E1139" i="1"/>
  <c r="G1139" i="1" s="1"/>
  <c r="J350" i="5"/>
  <c r="H1137" i="1" l="1"/>
  <c r="E1140" i="1"/>
  <c r="G1140" i="1" s="1"/>
  <c r="H1141" i="1"/>
  <c r="H1139" i="1"/>
  <c r="H1138" i="1"/>
  <c r="H1136" i="1"/>
  <c r="H1134" i="1"/>
  <c r="H1135" i="1"/>
  <c r="H1140" i="1" l="1"/>
  <c r="F1145" i="1" s="1"/>
  <c r="F1146" i="1" l="1"/>
  <c r="F1147" i="1"/>
  <c r="F1150" i="1" l="1"/>
  <c r="F1148" i="1"/>
  <c r="F1149" i="1"/>
  <c r="E1148" i="1" l="1"/>
  <c r="G1143" i="1" s="1"/>
  <c r="E1149" i="1" l="1"/>
  <c r="G1144" i="1"/>
  <c r="G1145" i="1" s="1"/>
  <c r="B39" i="6"/>
  <c r="H1145" i="1" l="1"/>
  <c r="F1152" i="1" s="1"/>
  <c r="F1151" i="1" l="1"/>
  <c r="F1153" i="1"/>
  <c r="F1156" i="1" l="1"/>
  <c r="G1151" i="1"/>
  <c r="F1155" i="1"/>
  <c r="F1154" i="1"/>
  <c r="G1152" i="1"/>
  <c r="A1164" i="1" s="1"/>
  <c r="G1155" i="1" l="1"/>
  <c r="G1147" i="1"/>
  <c r="G1148" i="1" s="1"/>
  <c r="G1149" i="1" s="1"/>
  <c r="M40" i="6"/>
  <c r="A352" i="5"/>
  <c r="I352" i="5" s="1"/>
  <c r="M39" i="6"/>
  <c r="A1201" i="1"/>
  <c r="A1229" i="1"/>
  <c r="G1161" i="1"/>
  <c r="A1165" i="1"/>
  <c r="A1176" i="1" s="1"/>
  <c r="H352" i="5" l="1"/>
  <c r="H363" i="5" s="1"/>
  <c r="H372" i="5" s="1"/>
  <c r="J352" i="5"/>
  <c r="J353" i="5" s="1"/>
  <c r="J354" i="5" s="1"/>
  <c r="J355" i="5" s="1"/>
  <c r="J356" i="5" s="1"/>
  <c r="J357" i="5" s="1"/>
  <c r="J358" i="5" s="1"/>
  <c r="J359" i="5" s="1"/>
  <c r="J360" i="5" s="1"/>
  <c r="J361" i="5" s="1"/>
  <c r="R352" i="5"/>
  <c r="R353" i="5" s="1"/>
  <c r="R354" i="5" s="1"/>
  <c r="R355" i="5" s="1"/>
  <c r="R356" i="5" s="1"/>
  <c r="R357" i="5" s="1"/>
  <c r="R358" i="5" s="1"/>
  <c r="R359" i="5" s="1"/>
  <c r="R360" i="5" s="1"/>
  <c r="R361" i="5" s="1"/>
  <c r="L352" i="5"/>
  <c r="L363" i="5" s="1"/>
  <c r="L372" i="5" s="1"/>
  <c r="F352" i="5"/>
  <c r="F363" i="5" s="1"/>
  <c r="F372" i="5" s="1"/>
  <c r="C352" i="5"/>
  <c r="C363" i="5" s="1"/>
  <c r="C372" i="5" s="1"/>
  <c r="P352" i="5"/>
  <c r="P353" i="5" s="1"/>
  <c r="P354" i="5" s="1"/>
  <c r="P355" i="5" s="1"/>
  <c r="P356" i="5" s="1"/>
  <c r="P357" i="5" s="1"/>
  <c r="P358" i="5" s="1"/>
  <c r="P359" i="5" s="1"/>
  <c r="P360" i="5" s="1"/>
  <c r="P361" i="5" s="1"/>
  <c r="E352" i="5"/>
  <c r="E363" i="5" s="1"/>
  <c r="E372" i="5" s="1"/>
  <c r="G352" i="5"/>
  <c r="G353" i="5" s="1"/>
  <c r="G354" i="5" s="1"/>
  <c r="G355" i="5" s="1"/>
  <c r="G356" i="5" s="1"/>
  <c r="G357" i="5" s="1"/>
  <c r="G358" i="5" s="1"/>
  <c r="G359" i="5" s="1"/>
  <c r="G360" i="5" s="1"/>
  <c r="G361" i="5" s="1"/>
  <c r="N352" i="5"/>
  <c r="N363" i="5" s="1"/>
  <c r="N372" i="5" s="1"/>
  <c r="K352" i="5"/>
  <c r="K363" i="5" s="1"/>
  <c r="K372" i="5" s="1"/>
  <c r="O352" i="5"/>
  <c r="O363" i="5" s="1"/>
  <c r="O372" i="5" s="1"/>
  <c r="Q352" i="5"/>
  <c r="Q353" i="5" s="1"/>
  <c r="Q354" i="5" s="1"/>
  <c r="Q355" i="5" s="1"/>
  <c r="Q356" i="5" s="1"/>
  <c r="Q357" i="5" s="1"/>
  <c r="Q358" i="5" s="1"/>
  <c r="Q359" i="5" s="1"/>
  <c r="Q360" i="5" s="1"/>
  <c r="Q361" i="5" s="1"/>
  <c r="D352" i="5"/>
  <c r="D353" i="5" s="1"/>
  <c r="D354" i="5" s="1"/>
  <c r="D355" i="5" s="1"/>
  <c r="D356" i="5" s="1"/>
  <c r="D357" i="5" s="1"/>
  <c r="D358" i="5" s="1"/>
  <c r="D359" i="5" s="1"/>
  <c r="D360" i="5" s="1"/>
  <c r="D361" i="5" s="1"/>
  <c r="B352" i="5"/>
  <c r="B363" i="5" s="1"/>
  <c r="B372" i="5" s="1"/>
  <c r="M352" i="5"/>
  <c r="M353" i="5" s="1"/>
  <c r="M354" i="5" s="1"/>
  <c r="M355" i="5" s="1"/>
  <c r="M356" i="5" s="1"/>
  <c r="M357" i="5" s="1"/>
  <c r="M358" i="5" s="1"/>
  <c r="M359" i="5" s="1"/>
  <c r="M360" i="5" s="1"/>
  <c r="M361" i="5" s="1"/>
  <c r="G1163" i="1"/>
  <c r="G1162" i="1"/>
  <c r="I363" i="5"/>
  <c r="I372" i="5" s="1"/>
  <c r="I353" i="5"/>
  <c r="I354" i="5" s="1"/>
  <c r="I355" i="5" s="1"/>
  <c r="I356" i="5" s="1"/>
  <c r="I357" i="5" s="1"/>
  <c r="I358" i="5" s="1"/>
  <c r="I359" i="5" s="1"/>
  <c r="I360" i="5" s="1"/>
  <c r="I361" i="5" s="1"/>
  <c r="H1161" i="1"/>
  <c r="A1230" i="1"/>
  <c r="A1202" i="1"/>
  <c r="A1166" i="1"/>
  <c r="A1177" i="1" s="1"/>
  <c r="F353" i="5" l="1"/>
  <c r="F354" i="5" s="1"/>
  <c r="F355" i="5" s="1"/>
  <c r="F356" i="5" s="1"/>
  <c r="F357" i="5" s="1"/>
  <c r="F358" i="5" s="1"/>
  <c r="F359" i="5" s="1"/>
  <c r="F360" i="5" s="1"/>
  <c r="F361" i="5" s="1"/>
  <c r="R363" i="5"/>
  <c r="R372" i="5" s="1"/>
  <c r="H353" i="5"/>
  <c r="H354" i="5" s="1"/>
  <c r="H355" i="5" s="1"/>
  <c r="H356" i="5" s="1"/>
  <c r="H357" i="5" s="1"/>
  <c r="H358" i="5" s="1"/>
  <c r="H359" i="5" s="1"/>
  <c r="H360" i="5" s="1"/>
  <c r="H361" i="5" s="1"/>
  <c r="C353" i="5"/>
  <c r="C354" i="5" s="1"/>
  <c r="C355" i="5" s="1"/>
  <c r="C356" i="5" s="1"/>
  <c r="C357" i="5" s="1"/>
  <c r="C358" i="5" s="1"/>
  <c r="C359" i="5" s="1"/>
  <c r="C360" i="5" s="1"/>
  <c r="C361" i="5" s="1"/>
  <c r="P363" i="5"/>
  <c r="P372" i="5" s="1"/>
  <c r="D363" i="5"/>
  <c r="D372" i="5" s="1"/>
  <c r="K353" i="5"/>
  <c r="K354" i="5" s="1"/>
  <c r="K355" i="5" s="1"/>
  <c r="K356" i="5" s="1"/>
  <c r="K357" i="5" s="1"/>
  <c r="K358" i="5" s="1"/>
  <c r="K359" i="5" s="1"/>
  <c r="K360" i="5" s="1"/>
  <c r="K361" i="5" s="1"/>
  <c r="B353" i="5"/>
  <c r="B354" i="5" s="1"/>
  <c r="B355" i="5" s="1"/>
  <c r="B356" i="5" s="1"/>
  <c r="B357" i="5" s="1"/>
  <c r="B358" i="5" s="1"/>
  <c r="B359" i="5" s="1"/>
  <c r="B360" i="5" s="1"/>
  <c r="B361" i="5" s="1"/>
  <c r="N353" i="5"/>
  <c r="N354" i="5" s="1"/>
  <c r="N355" i="5" s="1"/>
  <c r="N356" i="5" s="1"/>
  <c r="N357" i="5" s="1"/>
  <c r="N358" i="5" s="1"/>
  <c r="N359" i="5" s="1"/>
  <c r="N360" i="5" s="1"/>
  <c r="N361" i="5" s="1"/>
  <c r="Q363" i="5"/>
  <c r="Q372" i="5" s="1"/>
  <c r="G363" i="5"/>
  <c r="G372" i="5" s="1"/>
  <c r="J363" i="5"/>
  <c r="J372" i="5" s="1"/>
  <c r="L353" i="5"/>
  <c r="L354" i="5" s="1"/>
  <c r="L355" i="5" s="1"/>
  <c r="L356" i="5" s="1"/>
  <c r="L357" i="5" s="1"/>
  <c r="L358" i="5" s="1"/>
  <c r="L359" i="5" s="1"/>
  <c r="L360" i="5" s="1"/>
  <c r="L361" i="5" s="1"/>
  <c r="O353" i="5"/>
  <c r="O354" i="5" s="1"/>
  <c r="O355" i="5" s="1"/>
  <c r="O356" i="5" s="1"/>
  <c r="O357" i="5" s="1"/>
  <c r="O358" i="5" s="1"/>
  <c r="O359" i="5" s="1"/>
  <c r="O360" i="5" s="1"/>
  <c r="O361" i="5" s="1"/>
  <c r="E353" i="5"/>
  <c r="E354" i="5" s="1"/>
  <c r="E355" i="5" s="1"/>
  <c r="E356" i="5" s="1"/>
  <c r="E357" i="5" s="1"/>
  <c r="E358" i="5" s="1"/>
  <c r="E359" i="5" s="1"/>
  <c r="E360" i="5" s="1"/>
  <c r="E361" i="5" s="1"/>
  <c r="M363" i="5"/>
  <c r="M372" i="5" s="1"/>
  <c r="H1162" i="1"/>
  <c r="H1163" i="1"/>
  <c r="A1231" i="1"/>
  <c r="A1167" i="1"/>
  <c r="A1178" i="1" s="1"/>
  <c r="I1161" i="1"/>
  <c r="A1203" i="1"/>
  <c r="J1161" i="1" l="1"/>
  <c r="A1204" i="1"/>
  <c r="A1168" i="1"/>
  <c r="A1179" i="1" s="1"/>
  <c r="A1232" i="1"/>
  <c r="I1162" i="1"/>
  <c r="I1163" i="1"/>
  <c r="J1162" i="1" l="1"/>
  <c r="J1163" i="1"/>
  <c r="K1161" i="1"/>
  <c r="A1233" i="1"/>
  <c r="A1169" i="1"/>
  <c r="A1180" i="1" s="1"/>
  <c r="A1205" i="1"/>
  <c r="A1234" i="1" l="1"/>
  <c r="A1206" i="1"/>
  <c r="A1170" i="1"/>
  <c r="A1181" i="1" s="1"/>
  <c r="G1164" i="1"/>
  <c r="K1162" i="1"/>
  <c r="K1163" i="1"/>
  <c r="G1166" i="1" l="1"/>
  <c r="G1165" i="1"/>
  <c r="A1171" i="1"/>
  <c r="A1182" i="1" s="1"/>
  <c r="A1207" i="1"/>
  <c r="A1235" i="1"/>
  <c r="H1164" i="1"/>
  <c r="I1164" i="1" l="1"/>
  <c r="A1236" i="1"/>
  <c r="A1172" i="1"/>
  <c r="A1208" i="1"/>
  <c r="H1165" i="1"/>
  <c r="H1166" i="1"/>
  <c r="A1183" i="1" l="1"/>
  <c r="A1237" i="1"/>
  <c r="A1173" i="1"/>
  <c r="J1164" i="1"/>
  <c r="A1209" i="1"/>
  <c r="I1166" i="1"/>
  <c r="I1165" i="1"/>
  <c r="A1184" i="1" l="1"/>
  <c r="B1184" i="1" s="1"/>
  <c r="J1166" i="1"/>
  <c r="J1165" i="1"/>
  <c r="K1164" i="1"/>
  <c r="E1223" i="1"/>
  <c r="A1238" i="1"/>
  <c r="G1174" i="1"/>
  <c r="A1210" i="1"/>
  <c r="L1164" i="1"/>
  <c r="G1225" i="1" l="1"/>
  <c r="G1226" i="1" s="1"/>
  <c r="H1174" i="1"/>
  <c r="H1180" i="1"/>
  <c r="H1175" i="1"/>
  <c r="H1181" i="1"/>
  <c r="H1178" i="1"/>
  <c r="H1179" i="1"/>
  <c r="H1176" i="1"/>
  <c r="H1182" i="1"/>
  <c r="H1177" i="1"/>
  <c r="K1165" i="1"/>
  <c r="K1166" i="1"/>
  <c r="L1243" i="1"/>
  <c r="L1166" i="1"/>
  <c r="L1165" i="1"/>
  <c r="E31" i="6"/>
  <c r="G1183" i="1" l="1"/>
  <c r="F1223" i="1"/>
  <c r="G1201" i="1"/>
  <c r="D1242" i="1"/>
  <c r="L1244" i="1" s="1"/>
  <c r="L1360" i="1" s="1"/>
  <c r="L1472" i="1" s="1"/>
  <c r="L1581" i="1" s="1"/>
  <c r="L1646" i="1" s="1"/>
  <c r="L1708" i="1" s="1"/>
  <c r="L1763" i="1" s="1"/>
  <c r="L1809" i="1" s="1"/>
  <c r="L1887" i="1" s="1"/>
  <c r="G1188" i="1"/>
  <c r="A364" i="5"/>
  <c r="F1185" i="1"/>
  <c r="G1192" i="1"/>
  <c r="A1216" i="1"/>
  <c r="A1213" i="1"/>
  <c r="A1214" i="1" s="1"/>
  <c r="H1251" i="1"/>
  <c r="B1281" i="1" s="1"/>
  <c r="N10" i="6"/>
  <c r="G1186" i="1"/>
  <c r="L1359" i="1"/>
  <c r="L1471" i="1" s="1"/>
  <c r="L1580" i="1" s="1"/>
  <c r="L1645" i="1" s="1"/>
  <c r="L1707" i="1" s="1"/>
  <c r="L1762" i="1" s="1"/>
  <c r="L1808" i="1" s="1"/>
  <c r="F31" i="6"/>
  <c r="G31" i="6"/>
  <c r="H31" i="6" s="1"/>
  <c r="I31" i="6" s="1"/>
  <c r="J31" i="6"/>
  <c r="K31" i="6"/>
  <c r="L31" i="6"/>
  <c r="N31" i="6"/>
  <c r="M31" i="6"/>
  <c r="K1820" i="1" l="1"/>
  <c r="B1823" i="1" s="1"/>
  <c r="L1886" i="1"/>
  <c r="A1891" i="1" s="1"/>
  <c r="C1223" i="1"/>
  <c r="J364" i="5"/>
  <c r="C364" i="5"/>
  <c r="N364" i="5"/>
  <c r="Q364" i="5"/>
  <c r="O364" i="5"/>
  <c r="L364" i="5"/>
  <c r="H364" i="5"/>
  <c r="H1247" i="1"/>
  <c r="H1363" i="1" s="1"/>
  <c r="H1475" i="1" s="1"/>
  <c r="H1584" i="1" s="1"/>
  <c r="H1649" i="1" s="1"/>
  <c r="H1711" i="1" s="1"/>
  <c r="H1766" i="1" s="1"/>
  <c r="H1812" i="1" s="1"/>
  <c r="H1890" i="1" s="1"/>
  <c r="D1359" i="1"/>
  <c r="D1471" i="1" s="1"/>
  <c r="D1580" i="1" s="1"/>
  <c r="D1645" i="1" s="1"/>
  <c r="D1707" i="1" s="1"/>
  <c r="D1762" i="1" s="1"/>
  <c r="D1808" i="1" s="1"/>
  <c r="J1247" i="1"/>
  <c r="J1363" i="1" s="1"/>
  <c r="J1475" i="1" s="1"/>
  <c r="J1584" i="1" s="1"/>
  <c r="J1649" i="1" s="1"/>
  <c r="J1711" i="1" s="1"/>
  <c r="J1766" i="1" s="1"/>
  <c r="J1812" i="1" s="1"/>
  <c r="J1890" i="1" s="1"/>
  <c r="L1247" i="1"/>
  <c r="L1363" i="1" s="1"/>
  <c r="L1475" i="1" s="1"/>
  <c r="L1584" i="1" s="1"/>
  <c r="L1649" i="1" s="1"/>
  <c r="L1711" i="1" s="1"/>
  <c r="L1766" i="1" s="1"/>
  <c r="L1812" i="1" s="1"/>
  <c r="L1890" i="1" s="1"/>
  <c r="K1247" i="1"/>
  <c r="K1363" i="1" s="1"/>
  <c r="K1475" i="1" s="1"/>
  <c r="K1584" i="1" s="1"/>
  <c r="K1649" i="1" s="1"/>
  <c r="K1711" i="1" s="1"/>
  <c r="K1766" i="1" s="1"/>
  <c r="K1812" i="1" s="1"/>
  <c r="K1890" i="1" s="1"/>
  <c r="I1247" i="1"/>
  <c r="I1363" i="1" s="1"/>
  <c r="I1475" i="1" s="1"/>
  <c r="I1584" i="1" s="1"/>
  <c r="I1649" i="1" s="1"/>
  <c r="I1711" i="1" s="1"/>
  <c r="I1766" i="1" s="1"/>
  <c r="I1812" i="1" s="1"/>
  <c r="I1890" i="1" s="1"/>
  <c r="G1247" i="1"/>
  <c r="G1363" i="1" s="1"/>
  <c r="G1475" i="1" s="1"/>
  <c r="G1584" i="1" s="1"/>
  <c r="G1649" i="1" s="1"/>
  <c r="G1711" i="1" s="1"/>
  <c r="G1766" i="1" s="1"/>
  <c r="G1812" i="1" s="1"/>
  <c r="G1890" i="1" s="1"/>
  <c r="I364" i="5"/>
  <c r="E364" i="5"/>
  <c r="M364" i="5"/>
  <c r="B364" i="5"/>
  <c r="F364" i="5"/>
  <c r="D364" i="5"/>
  <c r="G364" i="5"/>
  <c r="P364" i="5"/>
  <c r="R364" i="5"/>
  <c r="K364" i="5"/>
  <c r="A1189" i="1" l="1"/>
  <c r="B1190" i="1"/>
  <c r="B1188" i="1"/>
  <c r="A1190" i="1"/>
  <c r="A1194" i="1"/>
  <c r="B1194" i="1" s="1"/>
  <c r="A1188" i="1"/>
  <c r="A1186" i="1"/>
  <c r="B1189" i="1"/>
  <c r="B1191" i="1"/>
  <c r="A1191" i="1"/>
  <c r="B1192" i="1"/>
  <c r="A1192" i="1"/>
  <c r="B1186" i="1"/>
  <c r="A1193" i="1"/>
  <c r="B1193" i="1"/>
  <c r="A1187" i="1"/>
  <c r="B1187" i="1"/>
  <c r="F1187" i="1" l="1"/>
  <c r="F1188" i="1"/>
  <c r="C1219" i="1" s="1"/>
  <c r="F1186" i="1"/>
  <c r="F1189" i="1"/>
  <c r="C1220" i="1" s="1"/>
  <c r="B1210" i="1" l="1"/>
  <c r="B1204" i="1"/>
  <c r="B1207" i="1"/>
  <c r="B1205" i="1"/>
  <c r="B1209" i="1"/>
  <c r="B1208" i="1"/>
  <c r="B366" i="5"/>
  <c r="B1202" i="1"/>
  <c r="B1206" i="1"/>
  <c r="B1201" i="1"/>
  <c r="G1187" i="1"/>
  <c r="B1203" i="1"/>
  <c r="E1193" i="1"/>
  <c r="F1193" i="1" s="1"/>
  <c r="E1194" i="1"/>
  <c r="F1194" i="1" s="1"/>
  <c r="F1379" i="1"/>
  <c r="G1189" i="1"/>
  <c r="C366" i="5"/>
  <c r="E1196" i="1" l="1"/>
  <c r="F1197" i="1" s="1"/>
  <c r="G1194" i="1"/>
  <c r="E1213" i="1"/>
  <c r="A1218" i="1"/>
  <c r="I1201" i="1"/>
  <c r="C1225" i="1" s="1"/>
  <c r="G1193" i="1"/>
  <c r="C1213" i="1"/>
  <c r="A1217" i="1"/>
  <c r="H1201" i="1"/>
  <c r="N12" i="6"/>
  <c r="D367" i="5"/>
  <c r="H367" i="5"/>
  <c r="L367" i="5"/>
  <c r="J367" i="5"/>
  <c r="R367" i="5"/>
  <c r="B367" i="5"/>
  <c r="M367" i="5"/>
  <c r="I367" i="5"/>
  <c r="C367" i="5"/>
  <c r="Q367" i="5"/>
  <c r="N367" i="5"/>
  <c r="O367" i="5"/>
  <c r="F367" i="5"/>
  <c r="E367" i="5"/>
  <c r="P367" i="5"/>
  <c r="G367" i="5"/>
  <c r="K367" i="5"/>
  <c r="B1195" i="1"/>
  <c r="H1192" i="1" s="1"/>
  <c r="I1192" i="1" s="1"/>
  <c r="B1196" i="1" s="1"/>
  <c r="C1224" i="1" l="1"/>
  <c r="C1216" i="1"/>
  <c r="C1214" i="1"/>
  <c r="C1215" i="1"/>
  <c r="C1217" i="1"/>
  <c r="E1218" i="1"/>
  <c r="E1217" i="1"/>
  <c r="E1215" i="1"/>
  <c r="E1216" i="1"/>
  <c r="E1214" i="1"/>
  <c r="A1225" i="1"/>
  <c r="B1225" i="1" s="1"/>
  <c r="C1206" i="1"/>
  <c r="C1205" i="1"/>
  <c r="C1204" i="1"/>
  <c r="C1202" i="1"/>
  <c r="C1209" i="1"/>
  <c r="C1210" i="1"/>
  <c r="C1208" i="1"/>
  <c r="C1207" i="1"/>
  <c r="C1201" i="1"/>
  <c r="C1203" i="1"/>
  <c r="C1211" i="1"/>
  <c r="C1226" i="1"/>
  <c r="A1219" i="1"/>
  <c r="D1214" i="1" l="1"/>
  <c r="D1217" i="1"/>
  <c r="D1216" i="1"/>
  <c r="D1215" i="1"/>
  <c r="C1195" i="1"/>
  <c r="H1193" i="1" l="1"/>
  <c r="I1193" i="1" l="1"/>
  <c r="C1227" i="1" s="1"/>
  <c r="A1226" i="1" l="1"/>
  <c r="B1226" i="1" s="1"/>
  <c r="A1220" i="1"/>
  <c r="F1217" i="1" s="1"/>
  <c r="C1196" i="1"/>
  <c r="F1215" i="1" l="1"/>
  <c r="F1214" i="1"/>
  <c r="F1216" i="1"/>
  <c r="F1218" i="1"/>
  <c r="D1211" i="1"/>
  <c r="D1203" i="1"/>
  <c r="D1201" i="1"/>
  <c r="D1206" i="1"/>
  <c r="D1207" i="1"/>
  <c r="D1205" i="1"/>
  <c r="D1209" i="1"/>
  <c r="D1204" i="1"/>
  <c r="D1202" i="1"/>
  <c r="D1208" i="1"/>
  <c r="D1210" i="1"/>
  <c r="D1195" i="1" l="1"/>
  <c r="H1194" i="1" s="1"/>
  <c r="I1194" i="1" l="1"/>
  <c r="F1199" i="1" s="1"/>
  <c r="F1200" i="1" s="1"/>
  <c r="C1228" i="1" l="1"/>
  <c r="H1210" i="1" s="1"/>
  <c r="A1227" i="1"/>
  <c r="B1227" i="1" s="1"/>
  <c r="B1228" i="1"/>
  <c r="G1196" i="1"/>
  <c r="G1197" i="1" s="1"/>
  <c r="H1209" i="1" l="1"/>
  <c r="H1206" i="1"/>
  <c r="H1205" i="1"/>
  <c r="G1198" i="1"/>
  <c r="I1202" i="1" s="1"/>
  <c r="H1207" i="1"/>
  <c r="H1208" i="1"/>
  <c r="N15" i="6"/>
  <c r="G1211" i="1"/>
  <c r="D1244" i="1"/>
  <c r="D1219" i="1"/>
  <c r="G1214" i="1"/>
  <c r="A368" i="5"/>
  <c r="G368" i="5" l="1"/>
  <c r="E368" i="5"/>
  <c r="G1202" i="1"/>
  <c r="Q368" i="5"/>
  <c r="N368" i="5"/>
  <c r="H1202" i="1"/>
  <c r="P368" i="5"/>
  <c r="C368" i="5"/>
  <c r="O368" i="5"/>
  <c r="B368" i="5"/>
  <c r="D368" i="5"/>
  <c r="M368" i="5"/>
  <c r="I368" i="5"/>
  <c r="J368" i="5"/>
  <c r="R368" i="5"/>
  <c r="K368" i="5"/>
  <c r="H368" i="5"/>
  <c r="L1245" i="1"/>
  <c r="L1361" i="1" s="1"/>
  <c r="L1473" i="1" s="1"/>
  <c r="L1582" i="1" s="1"/>
  <c r="L1647" i="1" s="1"/>
  <c r="L1709" i="1" s="1"/>
  <c r="L1764" i="1" s="1"/>
  <c r="L1810" i="1" s="1"/>
  <c r="L1888" i="1" s="1"/>
  <c r="L1248" i="1"/>
  <c r="L1364" i="1" s="1"/>
  <c r="L1476" i="1" s="1"/>
  <c r="L1585" i="1" s="1"/>
  <c r="L1650" i="1" s="1"/>
  <c r="L1712" i="1" s="1"/>
  <c r="L1767" i="1" s="1"/>
  <c r="L1813" i="1" s="1"/>
  <c r="L1891" i="1" s="1"/>
  <c r="H1248" i="1"/>
  <c r="H1364" i="1" s="1"/>
  <c r="H1476" i="1" s="1"/>
  <c r="H1585" i="1" s="1"/>
  <c r="H1650" i="1" s="1"/>
  <c r="H1712" i="1" s="1"/>
  <c r="H1767" i="1" s="1"/>
  <c r="H1813" i="1" s="1"/>
  <c r="H1891" i="1" s="1"/>
  <c r="J1248" i="1"/>
  <c r="J1364" i="1" s="1"/>
  <c r="J1476" i="1" s="1"/>
  <c r="J1585" i="1" s="1"/>
  <c r="J1650" i="1" s="1"/>
  <c r="J1712" i="1" s="1"/>
  <c r="J1767" i="1" s="1"/>
  <c r="J1813" i="1" s="1"/>
  <c r="J1891" i="1" s="1"/>
  <c r="G1248" i="1"/>
  <c r="G1364" i="1" s="1"/>
  <c r="G1476" i="1" s="1"/>
  <c r="G1585" i="1" s="1"/>
  <c r="G1650" i="1" s="1"/>
  <c r="G1712" i="1" s="1"/>
  <c r="G1767" i="1" s="1"/>
  <c r="G1813" i="1" s="1"/>
  <c r="G1891" i="1" s="1"/>
  <c r="D1361" i="1"/>
  <c r="D1473" i="1" s="1"/>
  <c r="D1583" i="1" s="1"/>
  <c r="D1648" i="1" s="1"/>
  <c r="D1710" i="1" s="1"/>
  <c r="D1765" i="1" s="1"/>
  <c r="D1811" i="1" s="1"/>
  <c r="I1248" i="1"/>
  <c r="I1364" i="1" s="1"/>
  <c r="I1476" i="1" s="1"/>
  <c r="I1585" i="1" s="1"/>
  <c r="I1650" i="1" s="1"/>
  <c r="I1712" i="1" s="1"/>
  <c r="I1767" i="1" s="1"/>
  <c r="I1813" i="1" s="1"/>
  <c r="I1891" i="1" s="1"/>
  <c r="K1248" i="1"/>
  <c r="K1364" i="1" s="1"/>
  <c r="K1476" i="1" s="1"/>
  <c r="K1585" i="1" s="1"/>
  <c r="K1650" i="1" s="1"/>
  <c r="K1712" i="1" s="1"/>
  <c r="K1767" i="1" s="1"/>
  <c r="K1813" i="1" s="1"/>
  <c r="K1891" i="1" s="1"/>
  <c r="L368" i="5"/>
  <c r="F368" i="5"/>
  <c r="E1210" i="1" l="1"/>
  <c r="E1205" i="1"/>
  <c r="E1204" i="1"/>
  <c r="E1209" i="1"/>
  <c r="E1203" i="1"/>
  <c r="E1208" i="1"/>
  <c r="E1202" i="1"/>
  <c r="E1207" i="1"/>
  <c r="E1201" i="1"/>
  <c r="E1206" i="1"/>
  <c r="A369" i="5"/>
  <c r="A370" i="5" s="1"/>
  <c r="G1215" i="1" s="1"/>
  <c r="G1216" i="1" s="1"/>
  <c r="H1203" i="1" l="1"/>
  <c r="G1217" i="1"/>
  <c r="G1219" i="1" s="1"/>
  <c r="G1220" i="1" l="1"/>
  <c r="H1223" i="1" s="1"/>
  <c r="D1237" i="1" s="1"/>
  <c r="G1223" i="1"/>
  <c r="C40" i="6"/>
  <c r="A373" i="5"/>
  <c r="G373" i="5" s="1"/>
  <c r="B1238" i="1" l="1"/>
  <c r="N17" i="6"/>
  <c r="N373" i="5"/>
  <c r="R373" i="5"/>
  <c r="A374" i="5"/>
  <c r="G374" i="5" s="1"/>
  <c r="G376" i="5" s="1"/>
  <c r="C41" i="6"/>
  <c r="H373" i="5"/>
  <c r="P373" i="5"/>
  <c r="C373" i="5"/>
  <c r="E373" i="5"/>
  <c r="O373" i="5"/>
  <c r="L373" i="5"/>
  <c r="J373" i="5"/>
  <c r="Q373" i="5"/>
  <c r="D373" i="5"/>
  <c r="F373" i="5"/>
  <c r="M373" i="5"/>
  <c r="K373" i="5"/>
  <c r="I373" i="5"/>
  <c r="B373" i="5"/>
  <c r="B1237" i="1"/>
  <c r="B1234" i="1"/>
  <c r="B1229" i="1"/>
  <c r="B1232" i="1"/>
  <c r="B1230" i="1"/>
  <c r="B1236" i="1"/>
  <c r="D1236" i="1"/>
  <c r="B1233" i="1"/>
  <c r="B1231" i="1"/>
  <c r="B1235" i="1"/>
  <c r="C374" i="5" l="1"/>
  <c r="C376" i="5" s="1"/>
  <c r="J374" i="5"/>
  <c r="J376" i="5" s="1"/>
  <c r="M374" i="5"/>
  <c r="M376" i="5" s="1"/>
  <c r="H374" i="5"/>
  <c r="H376" i="5" s="1"/>
  <c r="B374" i="5"/>
  <c r="B376" i="5" s="1"/>
  <c r="P374" i="5"/>
  <c r="P376" i="5" s="1"/>
  <c r="D374" i="5"/>
  <c r="D376" i="5" s="1"/>
  <c r="Q374" i="5"/>
  <c r="Q376" i="5" s="1"/>
  <c r="F374" i="5"/>
  <c r="F376" i="5" s="1"/>
  <c r="L374" i="5"/>
  <c r="L376" i="5" s="1"/>
  <c r="R374" i="5"/>
  <c r="R376" i="5" s="1"/>
  <c r="I374" i="5"/>
  <c r="I376" i="5" s="1"/>
  <c r="O374" i="5"/>
  <c r="O376" i="5" s="1"/>
  <c r="N374" i="5"/>
  <c r="N376" i="5" s="1"/>
  <c r="K374" i="5"/>
  <c r="K376" i="5" s="1"/>
  <c r="E374" i="5"/>
  <c r="E376" i="5" s="1"/>
  <c r="F1231" i="1"/>
  <c r="F1233" i="1"/>
  <c r="F1232" i="1"/>
  <c r="F1230" i="1"/>
  <c r="F1227" i="1"/>
  <c r="F1228" i="1"/>
  <c r="F1229" i="1"/>
  <c r="H1229" i="1" l="1"/>
  <c r="G1229" i="1"/>
  <c r="H1232" i="1"/>
  <c r="G1232" i="1"/>
  <c r="H1228" i="1"/>
  <c r="G1228" i="1"/>
  <c r="H1233" i="1"/>
  <c r="G1233" i="1"/>
  <c r="H1227" i="1"/>
  <c r="G1227" i="1"/>
  <c r="H1231" i="1"/>
  <c r="G1231" i="1"/>
  <c r="G1230" i="1"/>
  <c r="H1230" i="1"/>
  <c r="E1237" i="1" l="1"/>
  <c r="E1236" i="1"/>
  <c r="G1235" i="1" l="1"/>
  <c r="G1236" i="1" s="1"/>
  <c r="A1240" i="1" s="1"/>
  <c r="A378" i="5" l="1"/>
  <c r="F378" i="5" s="1"/>
  <c r="N39" i="6"/>
  <c r="N40" i="6" s="1"/>
  <c r="K1243" i="1"/>
  <c r="K1359" i="1" s="1"/>
  <c r="K1471" i="1" s="1"/>
  <c r="K1580" i="1" s="1"/>
  <c r="K1645" i="1" s="1"/>
  <c r="K1707" i="1" s="1"/>
  <c r="K1762" i="1" s="1"/>
  <c r="K1808" i="1" s="1"/>
  <c r="G1237" i="1"/>
  <c r="F1263" i="1"/>
  <c r="A1335" i="1"/>
  <c r="G1240" i="1"/>
  <c r="A1241" i="1"/>
  <c r="A1298" i="1"/>
  <c r="J1820" i="1" l="1"/>
  <c r="B1822" i="1" s="1"/>
  <c r="K1886" i="1"/>
  <c r="A1890" i="1" s="1"/>
  <c r="R378" i="5"/>
  <c r="R388" i="5" s="1"/>
  <c r="R404" i="5" s="1"/>
  <c r="L378" i="5"/>
  <c r="L388" i="5" s="1"/>
  <c r="L404" i="5" s="1"/>
  <c r="J378" i="5"/>
  <c r="J388" i="5" s="1"/>
  <c r="J404" i="5" s="1"/>
  <c r="K1245" i="1"/>
  <c r="K1361" i="1" s="1"/>
  <c r="K1473" i="1" s="1"/>
  <c r="K1582" i="1" s="1"/>
  <c r="K1647" i="1" s="1"/>
  <c r="K1709" i="1" s="1"/>
  <c r="K1764" i="1" s="1"/>
  <c r="K1810" i="1" s="1"/>
  <c r="K1888" i="1" s="1"/>
  <c r="E30" i="6"/>
  <c r="Q378" i="5"/>
  <c r="Q388" i="5" s="1"/>
  <c r="Q404" i="5" s="1"/>
  <c r="D378" i="5"/>
  <c r="D388" i="5" s="1"/>
  <c r="D404" i="5" s="1"/>
  <c r="K378" i="5"/>
  <c r="O378" i="5"/>
  <c r="O388" i="5" s="1"/>
  <c r="O404" i="5" s="1"/>
  <c r="I378" i="5"/>
  <c r="I388" i="5" s="1"/>
  <c r="I404" i="5" s="1"/>
  <c r="P378" i="5"/>
  <c r="P388" i="5" s="1"/>
  <c r="P404" i="5" s="1"/>
  <c r="G378" i="5"/>
  <c r="G388" i="5" s="1"/>
  <c r="G404" i="5" s="1"/>
  <c r="N378" i="5"/>
  <c r="N388" i="5" s="1"/>
  <c r="N404" i="5" s="1"/>
  <c r="B378" i="5"/>
  <c r="B388" i="5" s="1"/>
  <c r="B404" i="5" s="1"/>
  <c r="M378" i="5"/>
  <c r="C378" i="5"/>
  <c r="C388" i="5" s="1"/>
  <c r="C404" i="5" s="1"/>
  <c r="E378" i="5"/>
  <c r="F379" i="5" s="1"/>
  <c r="F380" i="5" s="1"/>
  <c r="F381" i="5" s="1"/>
  <c r="F382" i="5" s="1"/>
  <c r="F383" i="5" s="1"/>
  <c r="F384" i="5" s="1"/>
  <c r="F385" i="5" s="1"/>
  <c r="F386" i="5" s="1"/>
  <c r="H378" i="5"/>
  <c r="K1244" i="1"/>
  <c r="K1360" i="1" s="1"/>
  <c r="K1472" i="1" s="1"/>
  <c r="K1581" i="1" s="1"/>
  <c r="K1646" i="1" s="1"/>
  <c r="K1708" i="1" s="1"/>
  <c r="K1763" i="1" s="1"/>
  <c r="K1809" i="1" s="1"/>
  <c r="K1887" i="1" s="1"/>
  <c r="A1252" i="1"/>
  <c r="A1336" i="1"/>
  <c r="A1242" i="1"/>
  <c r="H1240" i="1"/>
  <c r="A1299" i="1"/>
  <c r="G1242" i="1"/>
  <c r="G1241" i="1"/>
  <c r="F388" i="5"/>
  <c r="F404" i="5" s="1"/>
  <c r="G30" i="6" l="1"/>
  <c r="H30" i="6" s="1"/>
  <c r="I30" i="6" s="1"/>
  <c r="L379" i="5"/>
  <c r="L380" i="5" s="1"/>
  <c r="L381" i="5" s="1"/>
  <c r="L382" i="5" s="1"/>
  <c r="L383" i="5" s="1"/>
  <c r="L384" i="5" s="1"/>
  <c r="L385" i="5" s="1"/>
  <c r="L386" i="5" s="1"/>
  <c r="R379" i="5"/>
  <c r="R380" i="5" s="1"/>
  <c r="R381" i="5" s="1"/>
  <c r="R382" i="5" s="1"/>
  <c r="R383" i="5" s="1"/>
  <c r="R384" i="5" s="1"/>
  <c r="R385" i="5" s="1"/>
  <c r="R386" i="5" s="1"/>
  <c r="K388" i="5"/>
  <c r="K404" i="5" s="1"/>
  <c r="F30" i="6"/>
  <c r="E388" i="5"/>
  <c r="E404" i="5" s="1"/>
  <c r="L30" i="6"/>
  <c r="M30" i="6"/>
  <c r="G379" i="5"/>
  <c r="G380" i="5" s="1"/>
  <c r="G381" i="5" s="1"/>
  <c r="G382" i="5" s="1"/>
  <c r="G383" i="5" s="1"/>
  <c r="G384" i="5" s="1"/>
  <c r="G385" i="5" s="1"/>
  <c r="G386" i="5" s="1"/>
  <c r="J30" i="6"/>
  <c r="O379" i="5"/>
  <c r="O380" i="5" s="1"/>
  <c r="O381" i="5" s="1"/>
  <c r="O382" i="5" s="1"/>
  <c r="O383" i="5" s="1"/>
  <c r="O384" i="5" s="1"/>
  <c r="O385" i="5" s="1"/>
  <c r="O386" i="5" s="1"/>
  <c r="N30" i="6"/>
  <c r="O30" i="6" s="1"/>
  <c r="K30" i="6"/>
  <c r="J379" i="5"/>
  <c r="J380" i="5" s="1"/>
  <c r="J381" i="5" s="1"/>
  <c r="J382" i="5" s="1"/>
  <c r="J383" i="5" s="1"/>
  <c r="J384" i="5" s="1"/>
  <c r="J385" i="5" s="1"/>
  <c r="J386" i="5" s="1"/>
  <c r="K379" i="5"/>
  <c r="K380" i="5" s="1"/>
  <c r="K381" i="5" s="1"/>
  <c r="K382" i="5" s="1"/>
  <c r="K383" i="5" s="1"/>
  <c r="K384" i="5" s="1"/>
  <c r="K385" i="5" s="1"/>
  <c r="K386" i="5" s="1"/>
  <c r="B379" i="5"/>
  <c r="B380" i="5" s="1"/>
  <c r="B381" i="5" s="1"/>
  <c r="B382" i="5" s="1"/>
  <c r="B383" i="5" s="1"/>
  <c r="B384" i="5" s="1"/>
  <c r="B385" i="5" s="1"/>
  <c r="B386" i="5" s="1"/>
  <c r="H379" i="5"/>
  <c r="H380" i="5" s="1"/>
  <c r="H381" i="5" s="1"/>
  <c r="H382" i="5" s="1"/>
  <c r="H383" i="5" s="1"/>
  <c r="H384" i="5" s="1"/>
  <c r="H385" i="5" s="1"/>
  <c r="H386" i="5" s="1"/>
  <c r="Q379" i="5"/>
  <c r="Q380" i="5" s="1"/>
  <c r="Q381" i="5" s="1"/>
  <c r="Q382" i="5" s="1"/>
  <c r="Q383" i="5" s="1"/>
  <c r="Q384" i="5" s="1"/>
  <c r="Q385" i="5" s="1"/>
  <c r="Q386" i="5" s="1"/>
  <c r="E379" i="5"/>
  <c r="E380" i="5" s="1"/>
  <c r="E381" i="5" s="1"/>
  <c r="E382" i="5" s="1"/>
  <c r="E383" i="5" s="1"/>
  <c r="E384" i="5" s="1"/>
  <c r="E385" i="5" s="1"/>
  <c r="E386" i="5" s="1"/>
  <c r="H388" i="5"/>
  <c r="H404" i="5" s="1"/>
  <c r="C379" i="5"/>
  <c r="C380" i="5" s="1"/>
  <c r="C381" i="5" s="1"/>
  <c r="C382" i="5" s="1"/>
  <c r="C383" i="5" s="1"/>
  <c r="C384" i="5" s="1"/>
  <c r="C385" i="5" s="1"/>
  <c r="C386" i="5" s="1"/>
  <c r="D379" i="5"/>
  <c r="D380" i="5" s="1"/>
  <c r="D381" i="5" s="1"/>
  <c r="D382" i="5" s="1"/>
  <c r="D383" i="5" s="1"/>
  <c r="D384" i="5" s="1"/>
  <c r="D385" i="5" s="1"/>
  <c r="D386" i="5" s="1"/>
  <c r="P379" i="5"/>
  <c r="P380" i="5" s="1"/>
  <c r="P381" i="5" s="1"/>
  <c r="P382" i="5" s="1"/>
  <c r="P383" i="5" s="1"/>
  <c r="P384" i="5" s="1"/>
  <c r="P385" i="5" s="1"/>
  <c r="P386" i="5" s="1"/>
  <c r="N379" i="5"/>
  <c r="N380" i="5" s="1"/>
  <c r="N381" i="5" s="1"/>
  <c r="N382" i="5" s="1"/>
  <c r="N383" i="5" s="1"/>
  <c r="N384" i="5" s="1"/>
  <c r="N385" i="5" s="1"/>
  <c r="N386" i="5" s="1"/>
  <c r="M379" i="5"/>
  <c r="M380" i="5" s="1"/>
  <c r="M381" i="5" s="1"/>
  <c r="M382" i="5" s="1"/>
  <c r="M383" i="5" s="1"/>
  <c r="M384" i="5" s="1"/>
  <c r="M385" i="5" s="1"/>
  <c r="M386" i="5" s="1"/>
  <c r="I379" i="5"/>
  <c r="I380" i="5" s="1"/>
  <c r="I381" i="5" s="1"/>
  <c r="I382" i="5" s="1"/>
  <c r="I383" i="5" s="1"/>
  <c r="I384" i="5" s="1"/>
  <c r="I385" i="5" s="1"/>
  <c r="I386" i="5" s="1"/>
  <c r="M388" i="5"/>
  <c r="M404" i="5" s="1"/>
  <c r="A1253" i="1"/>
  <c r="H1242" i="1"/>
  <c r="H1241" i="1"/>
  <c r="A1300" i="1"/>
  <c r="I1240" i="1"/>
  <c r="A1337" i="1"/>
  <c r="A1243" i="1"/>
  <c r="I1241" i="1" l="1"/>
  <c r="I1242" i="1"/>
  <c r="A1254" i="1"/>
  <c r="A1338" i="1"/>
  <c r="A1301" i="1"/>
  <c r="A1244" i="1"/>
  <c r="J1240" i="1"/>
  <c r="A1255" i="1" l="1"/>
  <c r="K1240" i="1"/>
  <c r="A1302" i="1"/>
  <c r="A1245" i="1"/>
  <c r="A1339" i="1"/>
  <c r="J1242" i="1"/>
  <c r="J1241" i="1"/>
  <c r="A1256" i="1" l="1"/>
  <c r="A1303" i="1"/>
  <c r="G1243" i="1"/>
  <c r="A1246" i="1"/>
  <c r="A1340" i="1"/>
  <c r="K1241" i="1"/>
  <c r="K1242" i="1"/>
  <c r="A1257" i="1" l="1"/>
  <c r="H1243" i="1"/>
  <c r="A1341" i="1"/>
  <c r="A1304" i="1"/>
  <c r="A1247" i="1"/>
  <c r="G1245" i="1"/>
  <c r="G1244" i="1"/>
  <c r="H1244" i="1" l="1"/>
  <c r="H1245" i="1"/>
  <c r="A1305" i="1"/>
  <c r="A1342" i="1"/>
  <c r="I1243" i="1"/>
  <c r="A1248" i="1"/>
  <c r="A1258" i="1"/>
  <c r="I1245" i="1" l="1"/>
  <c r="I1244" i="1"/>
  <c r="A1306" i="1"/>
  <c r="J1243" i="1"/>
  <c r="A1343" i="1"/>
  <c r="A1259" i="1"/>
  <c r="H1254" i="1" s="1"/>
  <c r="B1283" i="1" s="1"/>
  <c r="H1258" i="1" l="1"/>
  <c r="B1287" i="1" s="1"/>
  <c r="H1255" i="1"/>
  <c r="B1284" i="1" s="1"/>
  <c r="H1259" i="1"/>
  <c r="B1288" i="1" s="1"/>
  <c r="H1256" i="1"/>
  <c r="B1285" i="1" s="1"/>
  <c r="H1257" i="1"/>
  <c r="B1286" i="1" s="1"/>
  <c r="J1244" i="1"/>
  <c r="J1245" i="1"/>
  <c r="H1260" i="1"/>
  <c r="B1289" i="1" s="1"/>
  <c r="C1289" i="1" s="1"/>
  <c r="H1253" i="1"/>
  <c r="B1282" i="1" s="1"/>
  <c r="D1289" i="1" l="1"/>
  <c r="C1394" i="1" s="1"/>
  <c r="H1367" i="1"/>
  <c r="A1399" i="1" s="1"/>
  <c r="E1288" i="1"/>
  <c r="E1359" i="1"/>
  <c r="E1471" i="1" s="1"/>
  <c r="E1580" i="1" s="1"/>
  <c r="E1645" i="1" s="1"/>
  <c r="E1707" i="1" s="1"/>
  <c r="E1762" i="1" s="1"/>
  <c r="E1808" i="1" s="1"/>
  <c r="F1264" i="1"/>
  <c r="E1269" i="1" s="1"/>
  <c r="F1333" i="1"/>
  <c r="G1261" i="1"/>
  <c r="G1298" i="1"/>
  <c r="O10" i="6"/>
  <c r="G1307" i="1"/>
  <c r="A389" i="5"/>
  <c r="O11" i="6" l="1"/>
  <c r="A392" i="5"/>
  <c r="E391" i="5" s="1"/>
  <c r="E392" i="5" s="1"/>
  <c r="G1285" i="1"/>
  <c r="G1287" i="1" s="1"/>
  <c r="E1319" i="1"/>
  <c r="R389" i="5"/>
  <c r="H389" i="5"/>
  <c r="N389" i="5"/>
  <c r="G389" i="5"/>
  <c r="E389" i="5"/>
  <c r="F389" i="5"/>
  <c r="P389" i="5"/>
  <c r="C389" i="5"/>
  <c r="G1264" i="1"/>
  <c r="F1268" i="1"/>
  <c r="C1265" i="1"/>
  <c r="Q389" i="5"/>
  <c r="B389" i="5"/>
  <c r="O389" i="5"/>
  <c r="M389" i="5"/>
  <c r="I389" i="5"/>
  <c r="D389" i="5"/>
  <c r="K389" i="5"/>
  <c r="J389" i="5"/>
  <c r="L389" i="5"/>
  <c r="F1288" i="1"/>
  <c r="G1294" i="1"/>
  <c r="G1292" i="1"/>
  <c r="K391" i="5" l="1"/>
  <c r="K392" i="5" s="1"/>
  <c r="G391" i="5"/>
  <c r="G392" i="5" s="1"/>
  <c r="M391" i="5"/>
  <c r="M392" i="5" s="1"/>
  <c r="N391" i="5"/>
  <c r="N392" i="5" s="1"/>
  <c r="G1286" i="1"/>
  <c r="B391" i="5"/>
  <c r="B392" i="5" s="1"/>
  <c r="F391" i="5"/>
  <c r="F392" i="5" s="1"/>
  <c r="H391" i="5"/>
  <c r="H392" i="5" s="1"/>
  <c r="D391" i="5"/>
  <c r="D392" i="5" s="1"/>
  <c r="Q391" i="5"/>
  <c r="Q392" i="5" s="1"/>
  <c r="I391" i="5"/>
  <c r="I392" i="5" s="1"/>
  <c r="C391" i="5"/>
  <c r="C392" i="5" s="1"/>
  <c r="O391" i="5"/>
  <c r="O392" i="5" s="1"/>
  <c r="R391" i="5"/>
  <c r="R392" i="5" s="1"/>
  <c r="L391" i="5"/>
  <c r="L392" i="5" s="1"/>
  <c r="J391" i="5"/>
  <c r="J392" i="5" s="1"/>
  <c r="P391" i="5"/>
  <c r="P392" i="5" s="1"/>
  <c r="F1350" i="1"/>
  <c r="A1506" i="1"/>
  <c r="B1393" i="1"/>
  <c r="G1388" i="1" s="1"/>
  <c r="G1335" i="1"/>
  <c r="G1310" i="1"/>
  <c r="B1333" i="1"/>
  <c r="F1478" i="1"/>
  <c r="F1461" i="1"/>
  <c r="F1567" i="1" s="1"/>
  <c r="F1635" i="1" s="1"/>
  <c r="F1697" i="1" s="1"/>
  <c r="F1752" i="1" s="1"/>
  <c r="F1797" i="1" s="1"/>
  <c r="A1309" i="1"/>
  <c r="B1270" i="1"/>
  <c r="B1269" i="1"/>
  <c r="B1272" i="1"/>
  <c r="B1275" i="1"/>
  <c r="A1268" i="1"/>
  <c r="A1275" i="1"/>
  <c r="A1273" i="1"/>
  <c r="A1270" i="1"/>
  <c r="B1271" i="1"/>
  <c r="B1273" i="1"/>
  <c r="B1268" i="1"/>
  <c r="A1274" i="1"/>
  <c r="A1269" i="1"/>
  <c r="B1274" i="1"/>
  <c r="A1271" i="1"/>
  <c r="A1272" i="1"/>
  <c r="C1267" i="1"/>
  <c r="G1265" i="1"/>
  <c r="F1286" i="1" l="1"/>
  <c r="F1285" i="1"/>
  <c r="F1287" i="1" s="1"/>
  <c r="G1289" i="1" s="1"/>
  <c r="G1389" i="1"/>
  <c r="G1390" i="1" s="1"/>
  <c r="G1391" i="1" s="1"/>
  <c r="G1392" i="1" s="1"/>
  <c r="F1392" i="1" s="1"/>
  <c r="C1268" i="1"/>
  <c r="C1272" i="1"/>
  <c r="C1274" i="1"/>
  <c r="C1271" i="1"/>
  <c r="E1293" i="1"/>
  <c r="E1291" i="1"/>
  <c r="E1289" i="1"/>
  <c r="F1289" i="1" s="1"/>
  <c r="E1290" i="1"/>
  <c r="E1292" i="1"/>
  <c r="E1294" i="1"/>
  <c r="E1295" i="1"/>
  <c r="C1273" i="1"/>
  <c r="C1275" i="1"/>
  <c r="D43" i="6" l="1"/>
  <c r="F1290" i="1"/>
  <c r="B1302" i="1" s="1"/>
  <c r="E1296" i="1"/>
  <c r="F1296" i="1" s="1"/>
  <c r="B395" i="5"/>
  <c r="C1309" i="1"/>
  <c r="G1293" i="1"/>
  <c r="D1268" i="1"/>
  <c r="C1269" i="1" s="1"/>
  <c r="D1269" i="1" s="1"/>
  <c r="C1270" i="1" s="1"/>
  <c r="D1270" i="1" s="1"/>
  <c r="B1299" i="1" l="1"/>
  <c r="B1304" i="1"/>
  <c r="B1305" i="1"/>
  <c r="B1301" i="1"/>
  <c r="B1303" i="1"/>
  <c r="B1306" i="1"/>
  <c r="B1300" i="1"/>
  <c r="B1298" i="1"/>
  <c r="F1270" i="1"/>
  <c r="F1269" i="1"/>
  <c r="H1307" i="1"/>
  <c r="G1299" i="1"/>
  <c r="F1291" i="1"/>
  <c r="E1297" i="1"/>
  <c r="F1297" i="1" s="1"/>
  <c r="C1294" i="1" s="1"/>
  <c r="D1295" i="1" s="1"/>
  <c r="E1309" i="1"/>
  <c r="G1295" i="1"/>
  <c r="C395" i="5"/>
  <c r="F396" i="5" s="1"/>
  <c r="A1313" i="1" l="1"/>
  <c r="B1313" i="1" s="1"/>
  <c r="A1310" i="1"/>
  <c r="B1310" i="1" s="1"/>
  <c r="A1312" i="1"/>
  <c r="B1312" i="1" s="1"/>
  <c r="H1298" i="1"/>
  <c r="A1315" i="1"/>
  <c r="B1315" i="1" s="1"/>
  <c r="A1314" i="1"/>
  <c r="B1314" i="1" s="1"/>
  <c r="A1311" i="1"/>
  <c r="B1311" i="1" s="1"/>
  <c r="E1320" i="1"/>
  <c r="G1300" i="1"/>
  <c r="I1307" i="1"/>
  <c r="E1321" i="1" s="1"/>
  <c r="O12" i="6"/>
  <c r="L396" i="5"/>
  <c r="O396" i="5"/>
  <c r="I396" i="5"/>
  <c r="G396" i="5"/>
  <c r="F1292" i="1"/>
  <c r="E1326" i="1"/>
  <c r="B396" i="5"/>
  <c r="P396" i="5"/>
  <c r="E396" i="5"/>
  <c r="N396" i="5"/>
  <c r="R396" i="5"/>
  <c r="H396" i="5"/>
  <c r="J396" i="5"/>
  <c r="C396" i="5"/>
  <c r="K396" i="5"/>
  <c r="D396" i="5"/>
  <c r="M396" i="5"/>
  <c r="Q396" i="5"/>
  <c r="O2" i="6"/>
  <c r="G1267" i="1"/>
  <c r="I1298" i="1" l="1"/>
  <c r="A1317" i="1" s="1"/>
  <c r="B1317" i="1" s="1"/>
  <c r="E1327" i="1"/>
  <c r="F1293" i="1"/>
  <c r="C1301" i="1" l="1"/>
  <c r="C1302" i="1"/>
  <c r="C1299" i="1"/>
  <c r="C1304" i="1"/>
  <c r="C1298" i="1"/>
  <c r="C1303" i="1"/>
  <c r="C1306" i="1"/>
  <c r="C1307" i="1"/>
  <c r="C1305" i="1"/>
  <c r="C1300" i="1"/>
  <c r="F1294" i="1"/>
  <c r="E1329" i="1" s="1"/>
  <c r="E1328" i="1"/>
  <c r="C1313" i="1" l="1"/>
  <c r="D1313" i="1" s="1"/>
  <c r="H1299" i="1"/>
  <c r="C1310" i="1"/>
  <c r="D1310" i="1" s="1"/>
  <c r="C1312" i="1"/>
  <c r="D1312" i="1" s="1"/>
  <c r="C1314" i="1"/>
  <c r="D1314" i="1" s="1"/>
  <c r="C1311" i="1"/>
  <c r="D1311" i="1" s="1"/>
  <c r="I1299" i="1" l="1"/>
  <c r="D1298" i="1" s="1"/>
  <c r="D1304" i="1" l="1"/>
  <c r="D1301" i="1"/>
  <c r="D1303" i="1"/>
  <c r="D1299" i="1"/>
  <c r="D1307" i="1"/>
  <c r="D1300" i="1"/>
  <c r="D1302" i="1"/>
  <c r="D1306" i="1"/>
  <c r="D1305" i="1"/>
  <c r="A1318" i="1"/>
  <c r="B1318" i="1" s="1"/>
  <c r="F1316" i="1" l="1"/>
  <c r="F1317" i="1"/>
  <c r="E1312" i="1"/>
  <c r="F1312" i="1" s="1"/>
  <c r="H1300" i="1"/>
  <c r="E1311" i="1"/>
  <c r="F1311" i="1" s="1"/>
  <c r="E1313" i="1"/>
  <c r="F1313" i="1" s="1"/>
  <c r="E1310" i="1"/>
  <c r="F1310" i="1" s="1"/>
  <c r="I1300" i="1" l="1"/>
  <c r="F1304" i="1" s="1"/>
  <c r="F1305" i="1" s="1"/>
  <c r="G1302" i="1" s="1"/>
  <c r="G1303" i="1" s="1"/>
  <c r="A1319" i="1" l="1"/>
  <c r="B1319" i="1" s="1"/>
  <c r="G1304" i="1" s="1"/>
  <c r="G1308" i="1" s="1"/>
  <c r="I1308" i="1" l="1"/>
  <c r="E1324" i="1" s="1"/>
  <c r="H1308" i="1"/>
  <c r="E1323" i="1" s="1"/>
  <c r="E1322" i="1"/>
  <c r="E1306" i="1" l="1"/>
  <c r="E1303" i="1"/>
  <c r="E1305" i="1"/>
  <c r="E1299" i="1"/>
  <c r="E1302" i="1"/>
  <c r="E1301" i="1"/>
  <c r="E1298" i="1"/>
  <c r="E1304" i="1"/>
  <c r="E1300" i="1"/>
  <c r="H1317" i="1"/>
  <c r="G1321" i="1" s="1"/>
  <c r="H1315" i="1"/>
  <c r="H1313" i="1"/>
  <c r="H1316" i="1"/>
  <c r="H1314" i="1"/>
  <c r="H1312" i="1"/>
  <c r="H1309" i="1" l="1"/>
  <c r="A397" i="5"/>
  <c r="D397" i="5" s="1"/>
  <c r="D1322" i="1"/>
  <c r="F1361" i="1"/>
  <c r="F1473" i="1" s="1"/>
  <c r="F1583" i="1" s="1"/>
  <c r="F1648" i="1" s="1"/>
  <c r="F1710" i="1" s="1"/>
  <c r="F1765" i="1" s="1"/>
  <c r="F1811" i="1" s="1"/>
  <c r="D1323" i="1"/>
  <c r="A400" i="5"/>
  <c r="G1323" i="1"/>
  <c r="E1361" i="1"/>
  <c r="E1473" i="1" s="1"/>
  <c r="E1583" i="1" s="1"/>
  <c r="E1648" i="1" s="1"/>
  <c r="E1710" i="1" s="1"/>
  <c r="E1765" i="1" s="1"/>
  <c r="E1811" i="1" s="1"/>
  <c r="O15" i="6"/>
  <c r="G1318" i="1"/>
  <c r="B397" i="5" l="1"/>
  <c r="H397" i="5"/>
  <c r="G397" i="5"/>
  <c r="R397" i="5"/>
  <c r="J397" i="5"/>
  <c r="Q397" i="5"/>
  <c r="K397" i="5"/>
  <c r="C397" i="5"/>
  <c r="I397" i="5"/>
  <c r="F397" i="5"/>
  <c r="N397" i="5"/>
  <c r="P397" i="5"/>
  <c r="L397" i="5"/>
  <c r="O397" i="5"/>
  <c r="E397" i="5"/>
  <c r="M397" i="5"/>
  <c r="A398" i="5" l="1"/>
  <c r="A399" i="5" s="1"/>
  <c r="B398" i="5" s="1"/>
  <c r="B399" i="5" s="1"/>
  <c r="C399" i="5" l="1"/>
  <c r="L400" i="5" s="1"/>
  <c r="G400" i="5" l="1"/>
  <c r="O400" i="5"/>
  <c r="J400" i="5"/>
  <c r="E400" i="5"/>
  <c r="P400" i="5"/>
  <c r="Q400" i="5"/>
  <c r="D400" i="5"/>
  <c r="B400" i="5"/>
  <c r="H400" i="5"/>
  <c r="R400" i="5"/>
  <c r="M400" i="5"/>
  <c r="C400" i="5"/>
  <c r="K400" i="5"/>
  <c r="N400" i="5"/>
  <c r="G1322" i="1"/>
  <c r="I400" i="5"/>
  <c r="F400" i="5"/>
  <c r="D1324" i="1" l="1"/>
  <c r="A401" i="5"/>
  <c r="A402" i="5" s="1"/>
  <c r="G1324" i="1" s="1"/>
  <c r="D1325" i="1" s="1"/>
  <c r="D1318" i="1"/>
  <c r="D1319" i="1" s="1"/>
  <c r="E1318" i="1" s="1"/>
  <c r="D1326" i="1" l="1"/>
  <c r="G1325" i="1" s="1"/>
  <c r="F1329" i="1"/>
  <c r="F1327" i="1"/>
  <c r="F1328" i="1"/>
  <c r="F1326" i="1"/>
  <c r="G1326" i="1" l="1"/>
  <c r="G1327" i="1"/>
  <c r="G1329" i="1" l="1"/>
  <c r="D1345" i="1" s="1"/>
  <c r="D1348" i="1" s="1"/>
  <c r="G1330" i="1"/>
  <c r="D41" i="6" s="1"/>
  <c r="A405" i="5" l="1"/>
  <c r="N405" i="5" s="1"/>
  <c r="G1333" i="1"/>
  <c r="D40" i="6"/>
  <c r="O17" i="6"/>
  <c r="H1333" i="1"/>
  <c r="A406" i="5"/>
  <c r="D1346" i="1"/>
  <c r="D1349" i="1" s="1"/>
  <c r="O405" i="5" l="1"/>
  <c r="O406" i="5" s="1"/>
  <c r="O407" i="5" s="1"/>
  <c r="E405" i="5"/>
  <c r="E406" i="5" s="1"/>
  <c r="E407" i="5" s="1"/>
  <c r="B405" i="5"/>
  <c r="B406" i="5" s="1"/>
  <c r="B407" i="5" s="1"/>
  <c r="C405" i="5"/>
  <c r="C406" i="5" s="1"/>
  <c r="C407" i="5" s="1"/>
  <c r="R405" i="5"/>
  <c r="R406" i="5" s="1"/>
  <c r="R407" i="5" s="1"/>
  <c r="G405" i="5"/>
  <c r="G406" i="5" s="1"/>
  <c r="G407" i="5" s="1"/>
  <c r="F405" i="5"/>
  <c r="F406" i="5" s="1"/>
  <c r="F407" i="5" s="1"/>
  <c r="I405" i="5"/>
  <c r="I406" i="5" s="1"/>
  <c r="I407" i="5" s="1"/>
  <c r="P405" i="5"/>
  <c r="P406" i="5" s="1"/>
  <c r="P407" i="5" s="1"/>
  <c r="Q405" i="5"/>
  <c r="Q406" i="5" s="1"/>
  <c r="Q407" i="5" s="1"/>
  <c r="H405" i="5"/>
  <c r="H406" i="5" s="1"/>
  <c r="H407" i="5" s="1"/>
  <c r="M405" i="5"/>
  <c r="M406" i="5" s="1"/>
  <c r="M407" i="5" s="1"/>
  <c r="N406" i="5"/>
  <c r="N407" i="5" s="1"/>
  <c r="L405" i="5"/>
  <c r="L406" i="5" s="1"/>
  <c r="L407" i="5" s="1"/>
  <c r="J405" i="5"/>
  <c r="J406" i="5" s="1"/>
  <c r="J407" i="5" s="1"/>
  <c r="D405" i="5"/>
  <c r="D406" i="5" s="1"/>
  <c r="D407" i="5" s="1"/>
  <c r="B1338" i="1"/>
  <c r="C1338" i="1" s="1"/>
  <c r="K405" i="5"/>
  <c r="K406" i="5" s="1"/>
  <c r="K407" i="5" s="1"/>
  <c r="B1335" i="1"/>
  <c r="C1335" i="1" s="1"/>
  <c r="B1336" i="1"/>
  <c r="C1336" i="1" s="1"/>
  <c r="B1342" i="1"/>
  <c r="C1342" i="1" s="1"/>
  <c r="B1337" i="1"/>
  <c r="C1337" i="1" s="1"/>
  <c r="B1339" i="1"/>
  <c r="C1339" i="1" s="1"/>
  <c r="B1341" i="1"/>
  <c r="C1341" i="1" s="1"/>
  <c r="B1340" i="1"/>
  <c r="C1340" i="1" s="1"/>
  <c r="B1343" i="1"/>
  <c r="C1343" i="1" s="1"/>
  <c r="C1345" i="1" l="1"/>
  <c r="C1346" i="1"/>
  <c r="C1347" i="1" l="1"/>
  <c r="C1348" i="1" s="1"/>
  <c r="D1336" i="1" s="1"/>
  <c r="D1338" i="1" l="1"/>
  <c r="D1342" i="1"/>
  <c r="D1337" i="1"/>
  <c r="D1341" i="1"/>
  <c r="D1339" i="1"/>
  <c r="D1335" i="1"/>
  <c r="D1340" i="1"/>
  <c r="D1343" i="1"/>
  <c r="G1336" i="1"/>
  <c r="F1340" i="1" l="1"/>
  <c r="G1340" i="1" s="1"/>
  <c r="F1343" i="1"/>
  <c r="G1343" i="1" s="1"/>
  <c r="F1342" i="1"/>
  <c r="H1342" i="1" s="1"/>
  <c r="F1339" i="1"/>
  <c r="H1339" i="1" s="1"/>
  <c r="F1338" i="1"/>
  <c r="H1338" i="1" s="1"/>
  <c r="F1341" i="1"/>
  <c r="G1341" i="1" s="1"/>
  <c r="H1343" i="1" l="1"/>
  <c r="G1342" i="1"/>
  <c r="H1340" i="1"/>
  <c r="G1339" i="1"/>
  <c r="H1341" i="1"/>
  <c r="G1338" i="1"/>
  <c r="E1346" i="1" l="1"/>
  <c r="E1345" i="1"/>
  <c r="G1345" i="1" l="1"/>
  <c r="F1347" i="1" s="1"/>
  <c r="H1347" i="1" s="1"/>
  <c r="G1347" i="1" l="1"/>
  <c r="D39" i="6"/>
  <c r="G1346" i="1"/>
  <c r="E1348" i="1"/>
  <c r="E1349" i="1"/>
  <c r="G1349" i="1" l="1"/>
  <c r="O40" i="6"/>
  <c r="G1350" i="1"/>
  <c r="F1367" i="1" l="1"/>
  <c r="J1359" i="1"/>
  <c r="O39" i="6"/>
  <c r="A1348" i="1"/>
  <c r="D1394" i="1"/>
  <c r="C1501" i="1" s="1"/>
  <c r="G1353" i="1"/>
  <c r="A409" i="5"/>
  <c r="A1371" i="1" l="1"/>
  <c r="B1371" i="1" s="1"/>
  <c r="A1410" i="1"/>
  <c r="A1349" i="1"/>
  <c r="A1447" i="1"/>
  <c r="G1356" i="1"/>
  <c r="J1360" i="1"/>
  <c r="J1472" i="1" s="1"/>
  <c r="J1581" i="1" s="1"/>
  <c r="J1646" i="1" s="1"/>
  <c r="J1708" i="1" s="1"/>
  <c r="J1763" i="1" s="1"/>
  <c r="J1809" i="1" s="1"/>
  <c r="J1887" i="1" s="1"/>
  <c r="J1361" i="1"/>
  <c r="J1473" i="1" s="1"/>
  <c r="J1582" i="1" s="1"/>
  <c r="J1647" i="1" s="1"/>
  <c r="J1709" i="1" s="1"/>
  <c r="J1764" i="1" s="1"/>
  <c r="J1810" i="1" s="1"/>
  <c r="J1888" i="1" s="1"/>
  <c r="J1471" i="1"/>
  <c r="J1580" i="1" s="1"/>
  <c r="J1645" i="1" s="1"/>
  <c r="J1707" i="1" s="1"/>
  <c r="J1762" i="1" s="1"/>
  <c r="J1808" i="1" s="1"/>
  <c r="E29" i="6"/>
  <c r="P409" i="5"/>
  <c r="P421" i="5" s="1"/>
  <c r="L409" i="5"/>
  <c r="L421" i="5" s="1"/>
  <c r="Q409" i="5"/>
  <c r="Q421" i="5" s="1"/>
  <c r="D409" i="5"/>
  <c r="D421" i="5" s="1"/>
  <c r="K409" i="5"/>
  <c r="K421" i="5" s="1"/>
  <c r="H409" i="5"/>
  <c r="H421" i="5" s="1"/>
  <c r="J409" i="5"/>
  <c r="J421" i="5" s="1"/>
  <c r="E409" i="5"/>
  <c r="E421" i="5" s="1"/>
  <c r="I409" i="5"/>
  <c r="I421" i="5" s="1"/>
  <c r="C409" i="5"/>
  <c r="C421" i="5" s="1"/>
  <c r="B409" i="5"/>
  <c r="B421" i="5" s="1"/>
  <c r="F409" i="5"/>
  <c r="F421" i="5" s="1"/>
  <c r="R409" i="5"/>
  <c r="R421" i="5" s="1"/>
  <c r="G409" i="5"/>
  <c r="G421" i="5" s="1"/>
  <c r="M409" i="5"/>
  <c r="M421" i="5" s="1"/>
  <c r="N409" i="5"/>
  <c r="N421" i="5" s="1"/>
  <c r="O409" i="5"/>
  <c r="O421" i="5" s="1"/>
  <c r="G1368" i="1"/>
  <c r="G1370" i="1"/>
  <c r="I1820" i="1" l="1"/>
  <c r="B1821" i="1" s="1"/>
  <c r="J1886" i="1"/>
  <c r="A1889" i="1" s="1"/>
  <c r="A1372" i="1"/>
  <c r="B1372" i="1" s="1"/>
  <c r="A1350" i="1"/>
  <c r="A1411" i="1"/>
  <c r="H1356" i="1"/>
  <c r="A1448" i="1"/>
  <c r="F29" i="6"/>
  <c r="L29" i="6"/>
  <c r="G29" i="6"/>
  <c r="H29" i="6" s="1"/>
  <c r="I29" i="6" s="1"/>
  <c r="N29" i="6"/>
  <c r="K29" i="6"/>
  <c r="J29" i="6"/>
  <c r="M29" i="6"/>
  <c r="O29" i="6"/>
  <c r="G1358" i="1"/>
  <c r="G1357" i="1"/>
  <c r="H1358" i="1" l="1"/>
  <c r="H1357" i="1"/>
  <c r="A1351" i="1"/>
  <c r="I1356" i="1"/>
  <c r="A1449" i="1"/>
  <c r="A1373" i="1"/>
  <c r="B1373" i="1" s="1"/>
  <c r="A1412" i="1"/>
  <c r="I1358" i="1" l="1"/>
  <c r="I1357" i="1"/>
  <c r="A1352" i="1"/>
  <c r="A1374" i="1"/>
  <c r="B1374" i="1" s="1"/>
  <c r="J1356" i="1"/>
  <c r="A1413" i="1"/>
  <c r="A1450" i="1"/>
  <c r="A1451" i="1" l="1"/>
  <c r="A1375" i="1"/>
  <c r="B1375" i="1" s="1"/>
  <c r="K1356" i="1"/>
  <c r="A1414" i="1"/>
  <c r="A1353" i="1"/>
  <c r="J1358" i="1"/>
  <c r="J1357" i="1"/>
  <c r="K1358" i="1" l="1"/>
  <c r="K1357" i="1"/>
  <c r="A1354" i="1"/>
  <c r="A1415" i="1"/>
  <c r="A1452" i="1"/>
  <c r="G1359" i="1"/>
  <c r="A1376" i="1"/>
  <c r="B1376" i="1" s="1"/>
  <c r="A1355" i="1" l="1"/>
  <c r="A1453" i="1"/>
  <c r="A1377" i="1"/>
  <c r="B1377" i="1" s="1"/>
  <c r="A1416" i="1"/>
  <c r="H1359" i="1"/>
  <c r="G1360" i="1"/>
  <c r="G1361" i="1"/>
  <c r="H1360" i="1" l="1"/>
  <c r="H1361" i="1"/>
  <c r="A1454" i="1"/>
  <c r="I1359" i="1"/>
  <c r="A1417" i="1"/>
  <c r="A1378" i="1"/>
  <c r="B1378" i="1" s="1"/>
  <c r="H1375" i="1" s="1"/>
  <c r="A1405" i="1" s="1"/>
  <c r="H1371" i="1" l="1"/>
  <c r="A1401" i="1" s="1"/>
  <c r="I1360" i="1"/>
  <c r="I1361" i="1"/>
  <c r="H1376" i="1"/>
  <c r="H1372" i="1"/>
  <c r="A1402" i="1" s="1"/>
  <c r="H1370" i="1"/>
  <c r="A1400" i="1" s="1"/>
  <c r="H1373" i="1"/>
  <c r="A1403" i="1" s="1"/>
  <c r="H1374" i="1"/>
  <c r="A1404" i="1" s="1"/>
  <c r="G1419" i="1" l="1"/>
  <c r="E1431" i="1" s="1"/>
  <c r="G1377" i="1"/>
  <c r="A410" i="5"/>
  <c r="R410" i="5" s="1"/>
  <c r="H1479" i="1"/>
  <c r="G1381" i="1"/>
  <c r="A1406" i="1"/>
  <c r="P10" i="6"/>
  <c r="E1398" i="1"/>
  <c r="F1445" i="1"/>
  <c r="F1471" i="1"/>
  <c r="F1580" i="1" s="1"/>
  <c r="F1645" i="1" s="1"/>
  <c r="F1707" i="1" s="1"/>
  <c r="F1762" i="1" s="1"/>
  <c r="F1808" i="1" s="1"/>
  <c r="C1395" i="1"/>
  <c r="B1404" i="1" s="1"/>
  <c r="F1398" i="1"/>
  <c r="B1401" i="1" l="1"/>
  <c r="B1400" i="1"/>
  <c r="B1403" i="1"/>
  <c r="I410" i="5"/>
  <c r="O410" i="5"/>
  <c r="B1402" i="1"/>
  <c r="K410" i="5"/>
  <c r="D410" i="5"/>
  <c r="L410" i="5"/>
  <c r="H410" i="5"/>
  <c r="N410" i="5"/>
  <c r="G410" i="5"/>
  <c r="A1421" i="1"/>
  <c r="G1410" i="1"/>
  <c r="G1404" i="1"/>
  <c r="G1406" i="1"/>
  <c r="B1405" i="1"/>
  <c r="B1399" i="1"/>
  <c r="D1395" i="1"/>
  <c r="D1399" i="1" s="1"/>
  <c r="D1400" i="1" s="1"/>
  <c r="G1394" i="1" s="1"/>
  <c r="M410" i="5"/>
  <c r="E410" i="5"/>
  <c r="J410" i="5"/>
  <c r="P410" i="5"/>
  <c r="B410" i="5"/>
  <c r="C410" i="5"/>
  <c r="F410" i="5"/>
  <c r="Q410" i="5"/>
  <c r="B1406" i="1"/>
  <c r="A1390" i="1" l="1"/>
  <c r="A1389" i="1"/>
  <c r="B1385" i="1"/>
  <c r="B1391" i="1"/>
  <c r="B1390" i="1"/>
  <c r="A1386" i="1"/>
  <c r="B1386" i="1"/>
  <c r="A1385" i="1"/>
  <c r="C1385" i="1" s="1"/>
  <c r="A1387" i="1"/>
  <c r="B1388" i="1"/>
  <c r="B1387" i="1"/>
  <c r="B1389" i="1"/>
  <c r="A1391" i="1"/>
  <c r="A1388" i="1"/>
  <c r="E1394" i="1"/>
  <c r="C1388" i="1" l="1"/>
  <c r="C1391" i="1"/>
  <c r="D1385" i="1"/>
  <c r="C1386" i="1" s="1"/>
  <c r="D1386" i="1" s="1"/>
  <c r="C1387" i="1" s="1"/>
  <c r="D1387" i="1" s="1"/>
  <c r="P11" i="6"/>
  <c r="C1401" i="1"/>
  <c r="C1405" i="1"/>
  <c r="C1402" i="1"/>
  <c r="C1399" i="1"/>
  <c r="C1502" i="1"/>
  <c r="G1397" i="1"/>
  <c r="C1400" i="1"/>
  <c r="C1403" i="1"/>
  <c r="C1404" i="1"/>
  <c r="E1403" i="1"/>
  <c r="E1402" i="1"/>
  <c r="E1400" i="1"/>
  <c r="E1399" i="1"/>
  <c r="E1404" i="1"/>
  <c r="E1401" i="1"/>
  <c r="E1405" i="1"/>
  <c r="C1389" i="1"/>
  <c r="C1390" i="1"/>
  <c r="F1386" i="1" l="1"/>
  <c r="G1399" i="1"/>
  <c r="F1587" i="1" s="1"/>
  <c r="G1398" i="1"/>
  <c r="F1387" i="1"/>
  <c r="F1397" i="1" l="1"/>
  <c r="G1401" i="1" s="1"/>
  <c r="A1507" i="1"/>
  <c r="B1445" i="1"/>
  <c r="G1422" i="1"/>
  <c r="G1447" i="1"/>
  <c r="F1462" i="1"/>
  <c r="F1568" i="1" s="1"/>
  <c r="F1636" i="1" s="1"/>
  <c r="F1698" i="1" s="1"/>
  <c r="F1753" i="1" s="1"/>
  <c r="F1798" i="1" s="1"/>
  <c r="G1384" i="1"/>
  <c r="P2" i="6"/>
  <c r="B1502" i="1" l="1"/>
  <c r="B1501" i="1"/>
  <c r="B1500" i="1"/>
  <c r="B1504" i="1"/>
  <c r="B1503" i="1"/>
  <c r="A48" i="6"/>
  <c r="F1399" i="1"/>
  <c r="C1421" i="1" l="1"/>
  <c r="G1405" i="1"/>
  <c r="G1411" i="1"/>
  <c r="F1400" i="1"/>
  <c r="B1418" i="1" s="1"/>
  <c r="E1406" i="1"/>
  <c r="F1406" i="1" s="1"/>
  <c r="G1496" i="1"/>
  <c r="G1499" i="1"/>
  <c r="F1499" i="1" s="1"/>
  <c r="G1498" i="1"/>
  <c r="F1498" i="1" s="1"/>
  <c r="G1495" i="1"/>
  <c r="G1497" i="1"/>
  <c r="B1415" i="1" l="1"/>
  <c r="B1414" i="1"/>
  <c r="B1416" i="1"/>
  <c r="B1413" i="1"/>
  <c r="G1407" i="1"/>
  <c r="I1419" i="1" s="1"/>
  <c r="E1421" i="1"/>
  <c r="E1407" i="1"/>
  <c r="F1407" i="1" s="1"/>
  <c r="E1408" i="1" s="1"/>
  <c r="G1412" i="1"/>
  <c r="F1401" i="1"/>
  <c r="B1417" i="1"/>
  <c r="B1411" i="1"/>
  <c r="H1419" i="1"/>
  <c r="B1410" i="1"/>
  <c r="B1412" i="1"/>
  <c r="P12" i="6" l="1"/>
  <c r="E1438" i="1"/>
  <c r="F1402" i="1"/>
  <c r="C412" i="5"/>
  <c r="E1433" i="1"/>
  <c r="A1425" i="1"/>
  <c r="B1425" i="1" s="1"/>
  <c r="A1422" i="1"/>
  <c r="B1422" i="1" s="1"/>
  <c r="A1423" i="1"/>
  <c r="B1423" i="1" s="1"/>
  <c r="A1426" i="1"/>
  <c r="B1426" i="1" s="1"/>
  <c r="H1410" i="1"/>
  <c r="A1424" i="1"/>
  <c r="B1424" i="1" s="1"/>
  <c r="B412" i="5"/>
  <c r="E1432" i="1"/>
  <c r="I413" i="5" l="1"/>
  <c r="R413" i="5"/>
  <c r="P413" i="5"/>
  <c r="G413" i="5"/>
  <c r="N413" i="5"/>
  <c r="M413" i="5"/>
  <c r="C413" i="5"/>
  <c r="K413" i="5"/>
  <c r="D413" i="5"/>
  <c r="F413" i="5"/>
  <c r="B413" i="5"/>
  <c r="O413" i="5"/>
  <c r="H413" i="5"/>
  <c r="E413" i="5"/>
  <c r="Q413" i="5"/>
  <c r="J413" i="5"/>
  <c r="L413" i="5"/>
  <c r="F1403" i="1"/>
  <c r="E1439" i="1"/>
  <c r="I1410" i="1"/>
  <c r="C1412" i="1" s="1"/>
  <c r="A1429" i="1" l="1"/>
  <c r="B1429" i="1" s="1"/>
  <c r="C1413" i="1"/>
  <c r="C1417" i="1"/>
  <c r="C1415" i="1"/>
  <c r="C1414" i="1"/>
  <c r="C1416" i="1"/>
  <c r="E1440" i="1"/>
  <c r="F1404" i="1"/>
  <c r="E1441" i="1" s="1"/>
  <c r="C1411" i="1"/>
  <c r="C1410" i="1"/>
  <c r="C1418" i="1"/>
  <c r="C1424" i="1" l="1"/>
  <c r="D1424" i="1" s="1"/>
  <c r="C1422" i="1"/>
  <c r="D1422" i="1" s="1"/>
  <c r="C1423" i="1"/>
  <c r="D1423" i="1" s="1"/>
  <c r="H1411" i="1"/>
  <c r="C1425" i="1"/>
  <c r="D1425" i="1" s="1"/>
  <c r="I1411" i="1" l="1"/>
  <c r="D1414" i="1" s="1"/>
  <c r="D1411" i="1" l="1"/>
  <c r="D1416" i="1"/>
  <c r="A1430" i="1"/>
  <c r="B1430" i="1" s="1"/>
  <c r="D1413" i="1"/>
  <c r="D1418" i="1"/>
  <c r="D1410" i="1"/>
  <c r="D1415" i="1"/>
  <c r="D1417" i="1"/>
  <c r="D1412" i="1"/>
  <c r="E1423" i="1" l="1"/>
  <c r="F1423" i="1" s="1"/>
  <c r="H1412" i="1"/>
  <c r="E1422" i="1"/>
  <c r="F1422" i="1" s="1"/>
  <c r="E1424" i="1"/>
  <c r="F1424" i="1" s="1"/>
  <c r="I1412" i="1" l="1"/>
  <c r="A1431" i="1" s="1"/>
  <c r="B1431" i="1" s="1"/>
  <c r="F1409" i="1"/>
  <c r="F1419" i="1" l="1"/>
  <c r="F1420" i="1" s="1"/>
  <c r="G1414" i="1" l="1"/>
  <c r="G1415" i="1" s="1"/>
  <c r="G1416" i="1" s="1"/>
  <c r="G1420" i="1" s="1"/>
  <c r="I1420" i="1" l="1"/>
  <c r="E1436" i="1" s="1"/>
  <c r="H1420" i="1"/>
  <c r="E1435" i="1" s="1"/>
  <c r="E1434" i="1"/>
  <c r="E1415" i="1" l="1"/>
  <c r="E1413" i="1"/>
  <c r="E1417" i="1"/>
  <c r="E1416" i="1"/>
  <c r="E1412" i="1"/>
  <c r="E1410" i="1"/>
  <c r="E1411" i="1"/>
  <c r="H1427" i="1"/>
  <c r="E1414" i="1"/>
  <c r="H1426" i="1"/>
  <c r="H1424" i="1"/>
  <c r="H1425" i="1"/>
  <c r="H1429" i="1"/>
  <c r="H1428" i="1"/>
  <c r="D1434" i="1" l="1"/>
  <c r="B1474" i="1" s="1"/>
  <c r="B1584" i="1" s="1"/>
  <c r="B1649" i="1" s="1"/>
  <c r="B1711" i="1" s="1"/>
  <c r="B1766" i="1" s="1"/>
  <c r="B1812" i="1" s="1"/>
  <c r="H1421" i="1"/>
  <c r="A414" i="5"/>
  <c r="O414" i="5" s="1"/>
  <c r="G1433" i="1"/>
  <c r="G1430" i="1"/>
  <c r="G1435" i="1"/>
  <c r="D1435" i="1"/>
  <c r="P15" i="6" s="1"/>
  <c r="K414" i="5" l="1"/>
  <c r="B414" i="5"/>
  <c r="E414" i="5"/>
  <c r="D414" i="5"/>
  <c r="M414" i="5"/>
  <c r="G414" i="5"/>
  <c r="Q414" i="5"/>
  <c r="L414" i="5"/>
  <c r="R414" i="5"/>
  <c r="F414" i="5"/>
  <c r="N414" i="5"/>
  <c r="I414" i="5"/>
  <c r="C414" i="5"/>
  <c r="J414" i="5"/>
  <c r="P414" i="5"/>
  <c r="H414" i="5"/>
  <c r="A417" i="5"/>
  <c r="C1474" i="1"/>
  <c r="C1584" i="1" s="1"/>
  <c r="C1649" i="1" s="1"/>
  <c r="C1711" i="1" s="1"/>
  <c r="C1766" i="1" s="1"/>
  <c r="C1812" i="1" s="1"/>
  <c r="A415" i="5" l="1"/>
  <c r="A416" i="5" s="1"/>
  <c r="B415" i="5" l="1"/>
  <c r="B416" i="5" s="1"/>
  <c r="C416" i="5" s="1"/>
  <c r="R417" i="5" s="1"/>
  <c r="O417" i="5" l="1"/>
  <c r="F417" i="5"/>
  <c r="N417" i="5"/>
  <c r="K417" i="5"/>
  <c r="Q417" i="5"/>
  <c r="I417" i="5"/>
  <c r="D417" i="5"/>
  <c r="G417" i="5"/>
  <c r="C417" i="5"/>
  <c r="H417" i="5"/>
  <c r="B417" i="5"/>
  <c r="L417" i="5"/>
  <c r="E417" i="5"/>
  <c r="M417" i="5"/>
  <c r="G1434" i="1"/>
  <c r="P417" i="5"/>
  <c r="J417" i="5"/>
  <c r="D1430" i="1" l="1"/>
  <c r="D1431" i="1" s="1"/>
  <c r="E1430" i="1" s="1"/>
  <c r="A418" i="5"/>
  <c r="A419" i="5" s="1"/>
  <c r="G1436" i="1" s="1"/>
  <c r="F1439" i="1" s="1"/>
  <c r="D1436" i="1"/>
  <c r="F1440" i="1" l="1"/>
  <c r="F1438" i="1"/>
  <c r="F1441" i="1"/>
  <c r="D1437" i="1"/>
  <c r="D1438" i="1" s="1"/>
  <c r="G1437" i="1" s="1"/>
  <c r="G1439" i="1" l="1"/>
  <c r="G1438" i="1"/>
  <c r="G1442" i="1" l="1"/>
  <c r="H1445" i="1" s="1"/>
  <c r="G1441" i="1"/>
  <c r="A422" i="5" s="1"/>
  <c r="R422" i="5" s="1"/>
  <c r="A423" i="5" l="1"/>
  <c r="R423" i="5" s="1"/>
  <c r="R424" i="5" s="1"/>
  <c r="A46" i="6"/>
  <c r="D1458" i="1"/>
  <c r="K422" i="5"/>
  <c r="C422" i="5"/>
  <c r="B422" i="5"/>
  <c r="N422" i="5"/>
  <c r="O422" i="5"/>
  <c r="P422" i="5"/>
  <c r="L422" i="5"/>
  <c r="H422" i="5"/>
  <c r="Q422" i="5"/>
  <c r="I422" i="5"/>
  <c r="A45" i="6"/>
  <c r="E422" i="5"/>
  <c r="M422" i="5"/>
  <c r="G1445" i="1"/>
  <c r="B1454" i="1" s="1"/>
  <c r="C1454" i="1" s="1"/>
  <c r="G422" i="5"/>
  <c r="D422" i="5"/>
  <c r="F422" i="5"/>
  <c r="D1457" i="1"/>
  <c r="J422" i="5"/>
  <c r="P17" i="6"/>
  <c r="P423" i="5" l="1"/>
  <c r="P424" i="5" s="1"/>
  <c r="F423" i="5"/>
  <c r="F424" i="5" s="1"/>
  <c r="B1448" i="1"/>
  <c r="C1448" i="1" s="1"/>
  <c r="I423" i="5"/>
  <c r="I424" i="5" s="1"/>
  <c r="C423" i="5"/>
  <c r="C424" i="5" s="1"/>
  <c r="M423" i="5"/>
  <c r="M424" i="5" s="1"/>
  <c r="O423" i="5"/>
  <c r="O424" i="5" s="1"/>
  <c r="J423" i="5"/>
  <c r="J424" i="5" s="1"/>
  <c r="D423" i="5"/>
  <c r="D424" i="5" s="1"/>
  <c r="H423" i="5"/>
  <c r="H424" i="5" s="1"/>
  <c r="G423" i="5"/>
  <c r="G424" i="5" s="1"/>
  <c r="N423" i="5"/>
  <c r="N424" i="5" s="1"/>
  <c r="L423" i="5"/>
  <c r="L424" i="5" s="1"/>
  <c r="Q423" i="5"/>
  <c r="Q424" i="5" s="1"/>
  <c r="K423" i="5"/>
  <c r="K424" i="5" s="1"/>
  <c r="E423" i="5"/>
  <c r="E424" i="5" s="1"/>
  <c r="B423" i="5"/>
  <c r="B424" i="5" s="1"/>
  <c r="B1450" i="1"/>
  <c r="C1450" i="1" s="1"/>
  <c r="B1452" i="1"/>
  <c r="C1452" i="1" s="1"/>
  <c r="B1447" i="1"/>
  <c r="C1447" i="1" s="1"/>
  <c r="B1449" i="1"/>
  <c r="C1449" i="1" s="1"/>
  <c r="B1451" i="1"/>
  <c r="C1451" i="1" s="1"/>
  <c r="B1453" i="1"/>
  <c r="C1453" i="1" s="1"/>
  <c r="C1458" i="1" l="1"/>
  <c r="C1457" i="1"/>
  <c r="C1459" i="1" l="1"/>
  <c r="C1460" i="1" s="1"/>
  <c r="G1448" i="1" l="1"/>
  <c r="D1454" i="1"/>
  <c r="D1450" i="1"/>
  <c r="D1453" i="1"/>
  <c r="D1451" i="1"/>
  <c r="D1447" i="1"/>
  <c r="D1452" i="1"/>
  <c r="D1448" i="1"/>
  <c r="D1449" i="1"/>
  <c r="F1450" i="1" l="1"/>
  <c r="H1450" i="1" s="1"/>
  <c r="F1454" i="1"/>
  <c r="G1454" i="1" s="1"/>
  <c r="F1451" i="1"/>
  <c r="H1451" i="1" s="1"/>
  <c r="F1452" i="1"/>
  <c r="G1452" i="1" s="1"/>
  <c r="F1453" i="1"/>
  <c r="H1453" i="1" s="1"/>
  <c r="G1451" i="1" l="1"/>
  <c r="G1450" i="1"/>
  <c r="H1452" i="1"/>
  <c r="H1454" i="1"/>
  <c r="G1453" i="1"/>
  <c r="E1457" i="1" l="1"/>
  <c r="E1458" i="1"/>
  <c r="P40" i="6" l="1"/>
  <c r="G1461" i="1"/>
  <c r="G1462" i="1"/>
  <c r="F1479" i="1" l="1"/>
  <c r="E1479" i="1" s="1"/>
  <c r="E1478" i="1"/>
  <c r="P39" i="6"/>
  <c r="A426" i="5"/>
  <c r="D426" i="5" s="1"/>
  <c r="D438" i="5" s="1"/>
  <c r="G1465" i="1"/>
  <c r="I1471" i="1"/>
  <c r="A1460" i="1"/>
  <c r="G1480" i="1" l="1"/>
  <c r="E28" i="6"/>
  <c r="I1580" i="1"/>
  <c r="I1645" i="1" s="1"/>
  <c r="I1707" i="1" s="1"/>
  <c r="I1762" i="1" s="1"/>
  <c r="I1808" i="1" s="1"/>
  <c r="A1482" i="1"/>
  <c r="A1517" i="1" s="1"/>
  <c r="A1555" i="1"/>
  <c r="G426" i="5"/>
  <c r="G438" i="5" s="1"/>
  <c r="Q426" i="5"/>
  <c r="Q438" i="5" s="1"/>
  <c r="H426" i="5"/>
  <c r="H438" i="5" s="1"/>
  <c r="P426" i="5"/>
  <c r="P438" i="5" s="1"/>
  <c r="B426" i="5"/>
  <c r="B438" i="5" s="1"/>
  <c r="C426" i="5"/>
  <c r="C438" i="5" s="1"/>
  <c r="F426" i="5"/>
  <c r="F438" i="5" s="1"/>
  <c r="J426" i="5"/>
  <c r="J438" i="5" s="1"/>
  <c r="O426" i="5"/>
  <c r="O438" i="5" s="1"/>
  <c r="N426" i="5"/>
  <c r="N438" i="5" s="1"/>
  <c r="I426" i="5"/>
  <c r="I438" i="5" s="1"/>
  <c r="R426" i="5"/>
  <c r="R438" i="5" s="1"/>
  <c r="A1461" i="1"/>
  <c r="L426" i="5"/>
  <c r="L438" i="5" s="1"/>
  <c r="M426" i="5"/>
  <c r="M438" i="5" s="1"/>
  <c r="E426" i="5"/>
  <c r="E438" i="5" s="1"/>
  <c r="K426" i="5"/>
  <c r="K438" i="5" s="1"/>
  <c r="G1468" i="1"/>
  <c r="G1469" i="1" s="1"/>
  <c r="I1473" i="1"/>
  <c r="I1582" i="1" s="1"/>
  <c r="I1647" i="1" s="1"/>
  <c r="I1709" i="1" s="1"/>
  <c r="I1764" i="1" s="1"/>
  <c r="I1810" i="1" s="1"/>
  <c r="I1888" i="1" s="1"/>
  <c r="I1472" i="1"/>
  <c r="I1581" i="1" s="1"/>
  <c r="I1646" i="1" s="1"/>
  <c r="I1708" i="1" s="1"/>
  <c r="I1763" i="1" s="1"/>
  <c r="I1809" i="1" s="1"/>
  <c r="I1887" i="1" s="1"/>
  <c r="J28" i="6" l="1"/>
  <c r="H1820" i="1"/>
  <c r="B1820" i="1" s="1"/>
  <c r="I1886" i="1"/>
  <c r="A1888" i="1" s="1"/>
  <c r="B1482" i="1"/>
  <c r="O28" i="6"/>
  <c r="K28" i="6"/>
  <c r="L28" i="6"/>
  <c r="N28" i="6"/>
  <c r="F28" i="6"/>
  <c r="G28" i="6"/>
  <c r="H28" i="6" s="1"/>
  <c r="I28" i="6" s="1"/>
  <c r="M28" i="6"/>
  <c r="P28" i="6"/>
  <c r="A1508" i="1"/>
  <c r="A1483" i="1"/>
  <c r="A1509" i="1" s="1"/>
  <c r="A1556" i="1"/>
  <c r="H1468" i="1"/>
  <c r="H1470" i="1" s="1"/>
  <c r="A1462" i="1"/>
  <c r="G1470" i="1"/>
  <c r="A1518" i="1" l="1"/>
  <c r="B1483" i="1"/>
  <c r="A1484" i="1"/>
  <c r="B1484" i="1" s="1"/>
  <c r="A1557" i="1"/>
  <c r="H1469" i="1"/>
  <c r="I1468" i="1"/>
  <c r="A1463" i="1"/>
  <c r="A1519" i="1" l="1"/>
  <c r="A1510" i="1"/>
  <c r="A1485" i="1"/>
  <c r="A1520" i="1" s="1"/>
  <c r="A1558" i="1"/>
  <c r="I1469" i="1"/>
  <c r="I1470" i="1"/>
  <c r="A1464" i="1"/>
  <c r="J1468" i="1"/>
  <c r="J1470" i="1" s="1"/>
  <c r="A1511" i="1" l="1"/>
  <c r="B1485" i="1"/>
  <c r="J1469" i="1"/>
  <c r="A1465" i="1"/>
  <c r="A1560" i="1" s="1"/>
  <c r="A1559" i="1"/>
  <c r="K1468" i="1"/>
  <c r="A1486" i="1"/>
  <c r="A1512" i="1" s="1"/>
  <c r="G1471" i="1" l="1"/>
  <c r="A1466" i="1"/>
  <c r="A1561" i="1" s="1"/>
  <c r="A1487" i="1"/>
  <c r="A1522" i="1" s="1"/>
  <c r="A1521" i="1"/>
  <c r="B1486" i="1"/>
  <c r="K1470" i="1"/>
  <c r="K1469" i="1"/>
  <c r="A1488" i="1" l="1"/>
  <c r="B1488" i="1" s="1"/>
  <c r="B1487" i="1"/>
  <c r="A1513" i="1"/>
  <c r="G1473" i="1"/>
  <c r="G1472" i="1"/>
  <c r="H1471" i="1"/>
  <c r="H1473" i="1" s="1"/>
  <c r="A1523" i="1" l="1"/>
  <c r="A1514" i="1"/>
  <c r="H1472" i="1"/>
  <c r="H1486" i="1"/>
  <c r="H1483" i="1"/>
  <c r="G1482" i="1"/>
  <c r="H1482" i="1" s="1"/>
  <c r="H1484" i="1"/>
  <c r="H1485" i="1"/>
  <c r="H1487" i="1"/>
  <c r="Q10" i="6" l="1"/>
  <c r="H1588" i="1"/>
  <c r="F1553" i="1"/>
  <c r="B1581" i="1"/>
  <c r="B1646" i="1" s="1"/>
  <c r="B1708" i="1" s="1"/>
  <c r="B1763" i="1" s="1"/>
  <c r="B1809" i="1" s="1"/>
  <c r="C1503" i="1"/>
  <c r="F1510" i="1"/>
  <c r="E1510" i="1"/>
  <c r="G1511" i="1"/>
  <c r="G1488" i="1"/>
  <c r="G1513" i="1"/>
  <c r="A427" i="5"/>
  <c r="H427" i="5" l="1"/>
  <c r="Q427" i="5"/>
  <c r="G427" i="5"/>
  <c r="P427" i="5"/>
  <c r="C427" i="5"/>
  <c r="D427" i="5"/>
  <c r="N427" i="5"/>
  <c r="B427" i="5"/>
  <c r="I427" i="5"/>
  <c r="L427" i="5"/>
  <c r="M427" i="5"/>
  <c r="F427" i="5"/>
  <c r="R427" i="5"/>
  <c r="O427" i="5"/>
  <c r="E427" i="5"/>
  <c r="K427" i="5"/>
  <c r="J427" i="5"/>
  <c r="A1526" i="1"/>
  <c r="G1517" i="1"/>
  <c r="G1528" i="1"/>
  <c r="E1539" i="1" s="1"/>
  <c r="B1514" i="1"/>
  <c r="D1502" i="1"/>
  <c r="B1512" i="1"/>
  <c r="B1508" i="1"/>
  <c r="D1503" i="1"/>
  <c r="E1503" i="1" s="1"/>
  <c r="B1509" i="1"/>
  <c r="B1513" i="1"/>
  <c r="D1501" i="1"/>
  <c r="B1510" i="1"/>
  <c r="B1511" i="1"/>
  <c r="D1506" i="1" l="1"/>
  <c r="E1501" i="1" s="1"/>
  <c r="D1500" i="1"/>
  <c r="C1514" i="1" s="1"/>
  <c r="A1494" i="1"/>
  <c r="A1492" i="1"/>
  <c r="A1497" i="1"/>
  <c r="A1496" i="1"/>
  <c r="B1493" i="1"/>
  <c r="B1497" i="1"/>
  <c r="B1496" i="1"/>
  <c r="B1492" i="1"/>
  <c r="B1495" i="1"/>
  <c r="A1493" i="1"/>
  <c r="A1495" i="1"/>
  <c r="B1494" i="1"/>
  <c r="E1502" i="1" l="1"/>
  <c r="D1507" i="1" s="1"/>
  <c r="G1501" i="1" s="1"/>
  <c r="C1509" i="1"/>
  <c r="G1504" i="1"/>
  <c r="C1511" i="1"/>
  <c r="C1513" i="1"/>
  <c r="C1508" i="1"/>
  <c r="C1512" i="1"/>
  <c r="C1510" i="1"/>
  <c r="E1513" i="1"/>
  <c r="E1514" i="1"/>
  <c r="E1516" i="1"/>
  <c r="E1511" i="1"/>
  <c r="E1515" i="1"/>
  <c r="E1512" i="1"/>
  <c r="G1505" i="1" l="1"/>
  <c r="G1506" i="1"/>
  <c r="Q11" i="6" l="1"/>
  <c r="F1569" i="1"/>
  <c r="F1637" i="1" s="1"/>
  <c r="F1699" i="1" s="1"/>
  <c r="F1754" i="1" s="1"/>
  <c r="F1799" i="1" s="1"/>
  <c r="B1553" i="1"/>
  <c r="G1555" i="1"/>
  <c r="F1508" i="1"/>
  <c r="F1511" i="1" l="1"/>
  <c r="B48" i="6"/>
  <c r="G1508" i="1"/>
  <c r="G1518" i="1" l="1"/>
  <c r="B429" i="5"/>
  <c r="G1512" i="1"/>
  <c r="C1526" i="1"/>
  <c r="F1512" i="1"/>
  <c r="H1528" i="1"/>
  <c r="E1540" i="1" s="1"/>
  <c r="F1513" i="1" l="1"/>
  <c r="F1514" i="1" s="1"/>
  <c r="B1519" i="1"/>
  <c r="B1523" i="1"/>
  <c r="B1521" i="1"/>
  <c r="C429" i="5"/>
  <c r="J430" i="5" s="1"/>
  <c r="G1519" i="1"/>
  <c r="G1514" i="1"/>
  <c r="Q12" i="6" s="1"/>
  <c r="E1526" i="1"/>
  <c r="B1522" i="1"/>
  <c r="I1528" i="1"/>
  <c r="E1541" i="1" s="1"/>
  <c r="B1517" i="1"/>
  <c r="B1518" i="1"/>
  <c r="B1520" i="1"/>
  <c r="E1546" i="1" l="1"/>
  <c r="P430" i="5"/>
  <c r="O430" i="5"/>
  <c r="M430" i="5"/>
  <c r="L430" i="5"/>
  <c r="C430" i="5"/>
  <c r="B430" i="5"/>
  <c r="F430" i="5"/>
  <c r="R430" i="5"/>
  <c r="D430" i="5"/>
  <c r="G430" i="5"/>
  <c r="N430" i="5"/>
  <c r="I430" i="5"/>
  <c r="E430" i="5"/>
  <c r="H430" i="5"/>
  <c r="Q430" i="5"/>
  <c r="K430" i="5"/>
  <c r="A1530" i="1"/>
  <c r="B1530" i="1" s="1"/>
  <c r="A1527" i="1"/>
  <c r="B1527" i="1" s="1"/>
  <c r="A1529" i="1"/>
  <c r="B1529" i="1" s="1"/>
  <c r="H1517" i="1"/>
  <c r="A1528" i="1"/>
  <c r="B1528" i="1" s="1"/>
  <c r="F1515" i="1"/>
  <c r="E1547" i="1"/>
  <c r="I1517" i="1" l="1"/>
  <c r="A1532" i="1" s="1"/>
  <c r="B1532" i="1" s="1"/>
  <c r="F1516" i="1"/>
  <c r="E1549" i="1" s="1"/>
  <c r="E1548" i="1"/>
  <c r="C1519" i="1" l="1"/>
  <c r="C1524" i="1"/>
  <c r="C1517" i="1"/>
  <c r="C1518" i="1"/>
  <c r="C1522" i="1"/>
  <c r="C1520" i="1"/>
  <c r="C1523" i="1"/>
  <c r="C1521" i="1"/>
  <c r="H1518" i="1" l="1"/>
  <c r="C1527" i="1"/>
  <c r="D1527" i="1" s="1"/>
  <c r="C1528" i="1"/>
  <c r="D1528" i="1" s="1"/>
  <c r="C1529" i="1"/>
  <c r="D1529" i="1" s="1"/>
  <c r="I1518" i="1" l="1"/>
  <c r="A1533" i="1" s="1"/>
  <c r="B1533" i="1" s="1"/>
  <c r="D1519" i="1" l="1"/>
  <c r="D1520" i="1"/>
  <c r="D1517" i="1"/>
  <c r="D1518" i="1"/>
  <c r="D1524" i="1"/>
  <c r="D1523" i="1"/>
  <c r="D1522" i="1"/>
  <c r="D1521" i="1"/>
  <c r="H1519" i="1" l="1"/>
  <c r="E1528" i="1"/>
  <c r="F1528" i="1" s="1"/>
  <c r="E1531" i="1"/>
  <c r="E1532" i="1"/>
  <c r="E1527" i="1"/>
  <c r="F1527" i="1" s="1"/>
  <c r="I1519" i="1" l="1"/>
  <c r="A1534" i="1" l="1"/>
  <c r="B1534" i="1" s="1"/>
  <c r="F1521" i="1"/>
  <c r="F1522" i="1" s="1"/>
  <c r="G1525" i="1" s="1"/>
  <c r="G1521" i="1" l="1"/>
  <c r="G1522" i="1" s="1"/>
  <c r="G1523" i="1" l="1"/>
  <c r="H1529" i="1" s="1"/>
  <c r="E1543" i="1" s="1"/>
  <c r="G1529" i="1" l="1"/>
  <c r="E1542" i="1" s="1"/>
  <c r="I1529" i="1"/>
  <c r="E1544" i="1" s="1"/>
  <c r="H1537" i="1" l="1"/>
  <c r="D1542" i="1" s="1"/>
  <c r="H1533" i="1"/>
  <c r="H1532" i="1"/>
  <c r="F1531" i="1"/>
  <c r="H1530" i="1" s="1"/>
  <c r="H1535" i="1"/>
  <c r="H1536" i="1"/>
  <c r="G1543" i="1" s="1"/>
  <c r="H1534" i="1"/>
  <c r="A431" i="5" l="1"/>
  <c r="Q431" i="5" s="1"/>
  <c r="G1541" i="1"/>
  <c r="D1584" i="1"/>
  <c r="D1649" i="1" s="1"/>
  <c r="D1711" i="1" s="1"/>
  <c r="D1766" i="1" s="1"/>
  <c r="D1812" i="1" s="1"/>
  <c r="G1538" i="1"/>
  <c r="D1543" i="1"/>
  <c r="Q15" i="6" s="1"/>
  <c r="M431" i="5"/>
  <c r="D431" i="5"/>
  <c r="I431" i="5"/>
  <c r="E431" i="5"/>
  <c r="O431" i="5"/>
  <c r="F431" i="5" l="1"/>
  <c r="L431" i="5"/>
  <c r="H431" i="5"/>
  <c r="P431" i="5"/>
  <c r="J431" i="5"/>
  <c r="N431" i="5"/>
  <c r="B431" i="5"/>
  <c r="C431" i="5"/>
  <c r="G431" i="5"/>
  <c r="R431" i="5"/>
  <c r="K431" i="5"/>
  <c r="E1584" i="1"/>
  <c r="E1649" i="1" s="1"/>
  <c r="E1711" i="1" s="1"/>
  <c r="E1766" i="1" s="1"/>
  <c r="E1812" i="1" s="1"/>
  <c r="A434" i="5"/>
  <c r="A432" i="5" l="1"/>
  <c r="A433" i="5" s="1"/>
  <c r="B432" i="5" s="1"/>
  <c r="B433" i="5" s="1"/>
  <c r="C433" i="5" s="1"/>
  <c r="P434" i="5" s="1"/>
  <c r="H434" i="5" l="1"/>
  <c r="M434" i="5"/>
  <c r="F434" i="5"/>
  <c r="B434" i="5"/>
  <c r="G434" i="5"/>
  <c r="J434" i="5"/>
  <c r="N434" i="5"/>
  <c r="C434" i="5"/>
  <c r="Q434" i="5"/>
  <c r="R434" i="5"/>
  <c r="L434" i="5"/>
  <c r="D434" i="5"/>
  <c r="E434" i="5"/>
  <c r="I434" i="5"/>
  <c r="K434" i="5"/>
  <c r="O434" i="5"/>
  <c r="G1542" i="1"/>
  <c r="D1544" i="1" l="1"/>
  <c r="A435" i="5"/>
  <c r="A436" i="5" s="1"/>
  <c r="G1544" i="1" s="1"/>
  <c r="D1545" i="1" s="1"/>
  <c r="D1538" i="1"/>
  <c r="D1539" i="1" s="1"/>
  <c r="E1538" i="1" s="1"/>
  <c r="D1546" i="1" l="1"/>
  <c r="G1545" i="1" s="1"/>
  <c r="F1546" i="1"/>
  <c r="F1548" i="1"/>
  <c r="F1547" i="1"/>
  <c r="F1549" i="1"/>
  <c r="G1547" i="1" l="1"/>
  <c r="G1546" i="1"/>
  <c r="G1549" i="1" l="1"/>
  <c r="B45" i="6" s="1"/>
  <c r="G1550" i="1"/>
  <c r="B46" i="6" s="1"/>
  <c r="D1563" i="1" l="1"/>
  <c r="D1566" i="1" s="1"/>
  <c r="G1553" i="1"/>
  <c r="A439" i="5"/>
  <c r="P439" i="5" s="1"/>
  <c r="A440" i="5"/>
  <c r="H1553" i="1"/>
  <c r="Q17" i="6"/>
  <c r="D1564" i="1"/>
  <c r="D1567" i="1" s="1"/>
  <c r="B1558" i="1" l="1"/>
  <c r="C1558" i="1" s="1"/>
  <c r="K439" i="5"/>
  <c r="K440" i="5" s="1"/>
  <c r="K441" i="5" s="1"/>
  <c r="J439" i="5"/>
  <c r="J440" i="5" s="1"/>
  <c r="J441" i="5" s="1"/>
  <c r="C439" i="5"/>
  <c r="C440" i="5" s="1"/>
  <c r="C441" i="5" s="1"/>
  <c r="G439" i="5"/>
  <c r="G440" i="5" s="1"/>
  <c r="G441" i="5" s="1"/>
  <c r="B439" i="5"/>
  <c r="B440" i="5" s="1"/>
  <c r="B441" i="5" s="1"/>
  <c r="I439" i="5"/>
  <c r="F439" i="5"/>
  <c r="F440" i="5" s="1"/>
  <c r="F441" i="5" s="1"/>
  <c r="M439" i="5"/>
  <c r="M440" i="5" s="1"/>
  <c r="M441" i="5" s="1"/>
  <c r="D439" i="5"/>
  <c r="D440" i="5" s="1"/>
  <c r="D441" i="5" s="1"/>
  <c r="H439" i="5"/>
  <c r="H440" i="5" s="1"/>
  <c r="H441" i="5" s="1"/>
  <c r="E439" i="5"/>
  <c r="E440" i="5" s="1"/>
  <c r="E441" i="5" s="1"/>
  <c r="L439" i="5"/>
  <c r="L440" i="5" s="1"/>
  <c r="L441" i="5" s="1"/>
  <c r="N439" i="5"/>
  <c r="N440" i="5" s="1"/>
  <c r="N441" i="5" s="1"/>
  <c r="P440" i="5"/>
  <c r="P441" i="5" s="1"/>
  <c r="R439" i="5"/>
  <c r="R440" i="5" s="1"/>
  <c r="R441" i="5" s="1"/>
  <c r="O439" i="5"/>
  <c r="O440" i="5" s="1"/>
  <c r="O441" i="5" s="1"/>
  <c r="Q439" i="5"/>
  <c r="Q440" i="5" s="1"/>
  <c r="Q441" i="5" s="1"/>
  <c r="I440" i="5"/>
  <c r="I441" i="5" s="1"/>
  <c r="B1561" i="1"/>
  <c r="C1561" i="1" s="1"/>
  <c r="B1557" i="1"/>
  <c r="C1557" i="1" s="1"/>
  <c r="B1556" i="1"/>
  <c r="C1556" i="1" s="1"/>
  <c r="B1559" i="1"/>
  <c r="C1559" i="1" s="1"/>
  <c r="B1555" i="1"/>
  <c r="C1555" i="1" s="1"/>
  <c r="B1560" i="1"/>
  <c r="C1560" i="1" s="1"/>
  <c r="C1564" i="1" l="1"/>
  <c r="C1563" i="1"/>
  <c r="C1565" i="1" l="1"/>
  <c r="C1566" i="1" s="1"/>
  <c r="D1561" i="1" s="1"/>
  <c r="D1558" i="1" l="1"/>
  <c r="D1557" i="1"/>
  <c r="D1560" i="1"/>
  <c r="D1559" i="1"/>
  <c r="G1556" i="1"/>
  <c r="D1555" i="1"/>
  <c r="D1556" i="1"/>
  <c r="F1561" i="1" l="1"/>
  <c r="H1561" i="1" s="1"/>
  <c r="F1559" i="1"/>
  <c r="G1559" i="1" s="1"/>
  <c r="F1560" i="1"/>
  <c r="H1560" i="1" s="1"/>
  <c r="F1558" i="1"/>
  <c r="H1558" i="1" s="1"/>
  <c r="G1561" i="1" l="1"/>
  <c r="H1559" i="1"/>
  <c r="E1564" i="1" s="1"/>
  <c r="G1560" i="1"/>
  <c r="G1558" i="1"/>
  <c r="E1563" i="1" l="1"/>
  <c r="G1563" i="1" l="1"/>
  <c r="B44" i="6" s="1"/>
  <c r="F1565" i="1"/>
  <c r="G1564" i="1" l="1"/>
  <c r="H1565" i="1"/>
  <c r="E1566" i="1" s="1"/>
  <c r="G1565" i="1"/>
  <c r="E1567" i="1" l="1"/>
  <c r="G1568" i="1" s="1"/>
  <c r="E1587" i="1"/>
  <c r="A443" i="5" l="1"/>
  <c r="K443" i="5" s="1"/>
  <c r="K452" i="5" s="1"/>
  <c r="F1588" i="1"/>
  <c r="E1588" i="1" s="1"/>
  <c r="G1589" i="1" s="1"/>
  <c r="F1653" i="1" s="1"/>
  <c r="G1654" i="1" s="1"/>
  <c r="H1580" i="1"/>
  <c r="H1581" i="1" s="1"/>
  <c r="H1646" i="1" s="1"/>
  <c r="H1708" i="1" s="1"/>
  <c r="H1763" i="1" s="1"/>
  <c r="H1809" i="1" s="1"/>
  <c r="H1887" i="1" s="1"/>
  <c r="Q40" i="6"/>
  <c r="G1567" i="1"/>
  <c r="G1571" i="1"/>
  <c r="A1566" i="1"/>
  <c r="A1629" i="1" s="1"/>
  <c r="Q39" i="6"/>
  <c r="N443" i="5" l="1"/>
  <c r="N452" i="5" s="1"/>
  <c r="P443" i="5"/>
  <c r="P452" i="5" s="1"/>
  <c r="I443" i="5"/>
  <c r="I452" i="5" s="1"/>
  <c r="R443" i="5"/>
  <c r="R452" i="5" s="1"/>
  <c r="H1645" i="1"/>
  <c r="H1707" i="1" s="1"/>
  <c r="H1762" i="1" s="1"/>
  <c r="H1808" i="1" s="1"/>
  <c r="H1886" i="1" s="1"/>
  <c r="A1887" i="1" s="1"/>
  <c r="E443" i="5"/>
  <c r="E452" i="5" s="1"/>
  <c r="L443" i="5"/>
  <c r="L452" i="5" s="1"/>
  <c r="F443" i="5"/>
  <c r="F452" i="5" s="1"/>
  <c r="Q443" i="5"/>
  <c r="Q452" i="5" s="1"/>
  <c r="C443" i="5"/>
  <c r="C452" i="5" s="1"/>
  <c r="J443" i="5"/>
  <c r="J452" i="5" s="1"/>
  <c r="D443" i="5"/>
  <c r="D452" i="5" s="1"/>
  <c r="G443" i="5"/>
  <c r="G452" i="5" s="1"/>
  <c r="B443" i="5"/>
  <c r="B452" i="5" s="1"/>
  <c r="M443" i="5"/>
  <c r="M452" i="5" s="1"/>
  <c r="H443" i="5"/>
  <c r="H452" i="5" s="1"/>
  <c r="G1577" i="1"/>
  <c r="G1578" i="1" s="1"/>
  <c r="A1567" i="1"/>
  <c r="A1568" i="1" s="1"/>
  <c r="A1591" i="1"/>
  <c r="B1591" i="1" s="1"/>
  <c r="H1582" i="1"/>
  <c r="H1647" i="1" s="1"/>
  <c r="H1709" i="1" s="1"/>
  <c r="H1764" i="1" s="1"/>
  <c r="H1810" i="1" s="1"/>
  <c r="H1888" i="1" s="1"/>
  <c r="E27" i="6"/>
  <c r="F27" i="6" s="1"/>
  <c r="O443" i="5"/>
  <c r="O452" i="5" s="1"/>
  <c r="G1820" i="1" l="1"/>
  <c r="B1819" i="1" s="1"/>
  <c r="A1592" i="1"/>
  <c r="B1592" i="1" s="1"/>
  <c r="G1579" i="1"/>
  <c r="A1630" i="1"/>
  <c r="H1577" i="1"/>
  <c r="H1579" i="1" s="1"/>
  <c r="K27" i="6"/>
  <c r="G27" i="6"/>
  <c r="H27" i="6" s="1"/>
  <c r="I27" i="6" s="1"/>
  <c r="M27" i="6"/>
  <c r="N27" i="6"/>
  <c r="Q27" i="6"/>
  <c r="J27" i="6"/>
  <c r="L27" i="6"/>
  <c r="O27" i="6"/>
  <c r="P27" i="6"/>
  <c r="A1593" i="1"/>
  <c r="B1593" i="1" s="1"/>
  <c r="A1631" i="1"/>
  <c r="I1577" i="1"/>
  <c r="A1569" i="1"/>
  <c r="H1578" i="1" l="1"/>
  <c r="I1578" i="1"/>
  <c r="I1579" i="1"/>
  <c r="J1577" i="1"/>
  <c r="A1632" i="1"/>
  <c r="A1594" i="1"/>
  <c r="B1594" i="1" s="1"/>
  <c r="A1570" i="1"/>
  <c r="A1633" i="1" s="1"/>
  <c r="J1579" i="1" l="1"/>
  <c r="J1578" i="1"/>
  <c r="A1571" i="1"/>
  <c r="K1577" i="1"/>
  <c r="A1595" i="1"/>
  <c r="B1595" i="1" s="1"/>
  <c r="K1579" i="1" l="1"/>
  <c r="K1578" i="1"/>
  <c r="G1580" i="1"/>
  <c r="A1634" i="1"/>
  <c r="A1596" i="1"/>
  <c r="B1596" i="1" s="1"/>
  <c r="G1591" i="1" s="1"/>
  <c r="H1591" i="1" s="1"/>
  <c r="G1582" i="1" l="1"/>
  <c r="G1581" i="1"/>
  <c r="H1594" i="1"/>
  <c r="H1593" i="1"/>
  <c r="H1592" i="1"/>
  <c r="H1595" i="1"/>
  <c r="R10" i="6" s="1"/>
  <c r="C1646" i="1" l="1"/>
  <c r="C1708" i="1" s="1"/>
  <c r="C1763" i="1" s="1"/>
  <c r="C1809" i="1" s="1"/>
  <c r="H1653" i="1"/>
  <c r="G1601" i="1"/>
  <c r="F1629" i="1"/>
  <c r="G1599" i="1"/>
  <c r="F1598" i="1"/>
  <c r="G1608" i="1" s="1"/>
  <c r="E1611" i="1" s="1"/>
  <c r="G1596" i="1"/>
  <c r="A444" i="5"/>
  <c r="J444" i="5" l="1"/>
  <c r="O444" i="5"/>
  <c r="F444" i="5"/>
  <c r="C444" i="5"/>
  <c r="E444" i="5"/>
  <c r="I444" i="5"/>
  <c r="R444" i="5"/>
  <c r="P444" i="5"/>
  <c r="H444" i="5"/>
  <c r="L444" i="5"/>
  <c r="K444" i="5"/>
  <c r="Q444" i="5"/>
  <c r="D444" i="5"/>
  <c r="G444" i="5"/>
  <c r="B444" i="5"/>
  <c r="M444" i="5"/>
  <c r="N444" i="5"/>
  <c r="B1601" i="1" l="1"/>
  <c r="B1602" i="1"/>
  <c r="B1600" i="1"/>
  <c r="B1598" i="1"/>
  <c r="B1599" i="1"/>
  <c r="A1600" i="1"/>
  <c r="A1601" i="1"/>
  <c r="A1598" i="1"/>
  <c r="A1602" i="1"/>
  <c r="A1599" i="1"/>
  <c r="C1602" i="1" l="1"/>
  <c r="C1601" i="1"/>
  <c r="C1600" i="1"/>
  <c r="C1599" i="1"/>
  <c r="C1598" i="1"/>
  <c r="F1601" i="1"/>
  <c r="F1622" i="1" s="1"/>
  <c r="F1602" i="1"/>
  <c r="F1623" i="1" s="1"/>
  <c r="F1600" i="1"/>
  <c r="F1599" i="1"/>
  <c r="H1609" i="1" l="1"/>
  <c r="E1615" i="1" s="1"/>
  <c r="I1609" i="1"/>
  <c r="E1616" i="1" s="1"/>
  <c r="G1609" i="1"/>
  <c r="E1614" i="1" s="1"/>
  <c r="G1602" i="1"/>
  <c r="I1608" i="1"/>
  <c r="G1600" i="1"/>
  <c r="H1608" i="1"/>
  <c r="R12" i="6" l="1"/>
  <c r="E1613" i="1"/>
  <c r="C446" i="5"/>
  <c r="E1612" i="1"/>
  <c r="B446" i="5"/>
  <c r="H1615" i="1" l="1"/>
  <c r="H1614" i="1"/>
  <c r="H1612" i="1"/>
  <c r="H1611" i="1"/>
  <c r="H1616" i="1"/>
  <c r="R15" i="6" s="1"/>
  <c r="H1613" i="1"/>
  <c r="Q447" i="5"/>
  <c r="K447" i="5"/>
  <c r="P447" i="5"/>
  <c r="O447" i="5"/>
  <c r="B447" i="5"/>
  <c r="M447" i="5"/>
  <c r="C447" i="5"/>
  <c r="L447" i="5"/>
  <c r="G447" i="5"/>
  <c r="I447" i="5"/>
  <c r="N447" i="5"/>
  <c r="H447" i="5"/>
  <c r="R447" i="5"/>
  <c r="E447" i="5"/>
  <c r="F447" i="5"/>
  <c r="D447" i="5"/>
  <c r="J447" i="5"/>
  <c r="G1620" i="1" l="1"/>
  <c r="F1649" i="1"/>
  <c r="F1711" i="1" s="1"/>
  <c r="F1766" i="1" s="1"/>
  <c r="F1812" i="1" s="1"/>
  <c r="G1617" i="1"/>
  <c r="A448" i="5"/>
  <c r="B448" i="5" s="1"/>
  <c r="O448" i="5" l="1"/>
  <c r="E448" i="5"/>
  <c r="F448" i="5"/>
  <c r="N448" i="5"/>
  <c r="I448" i="5"/>
  <c r="M448" i="5"/>
  <c r="H448" i="5"/>
  <c r="D448" i="5"/>
  <c r="K448" i="5"/>
  <c r="G448" i="5"/>
  <c r="P448" i="5"/>
  <c r="L448" i="5"/>
  <c r="J448" i="5"/>
  <c r="C448" i="5"/>
  <c r="R448" i="5"/>
  <c r="Q448" i="5"/>
  <c r="A449" i="5" l="1"/>
  <c r="A450" i="5" s="1"/>
  <c r="G1621" i="1" s="1"/>
  <c r="G1622" i="1" s="1"/>
  <c r="G1623" i="1" l="1"/>
  <c r="G1625" i="1" s="1"/>
  <c r="C45" i="6" s="1"/>
  <c r="D1632" i="1" l="1"/>
  <c r="G1626" i="1"/>
  <c r="A453" i="5"/>
  <c r="Q453" i="5" s="1"/>
  <c r="G1629" i="1"/>
  <c r="D1633" i="1" l="1"/>
  <c r="C46" i="6"/>
  <c r="R17" i="6"/>
  <c r="E453" i="5"/>
  <c r="I453" i="5"/>
  <c r="J453" i="5"/>
  <c r="G453" i="5"/>
  <c r="N453" i="5"/>
  <c r="D453" i="5"/>
  <c r="M453" i="5"/>
  <c r="A454" i="5"/>
  <c r="Q454" i="5" s="1"/>
  <c r="Q455" i="5" s="1"/>
  <c r="H1629" i="1"/>
  <c r="B1630" i="1" s="1"/>
  <c r="R453" i="5"/>
  <c r="C453" i="5"/>
  <c r="O453" i="5"/>
  <c r="O454" i="5" s="1"/>
  <c r="O455" i="5" s="1"/>
  <c r="P453" i="5"/>
  <c r="F453" i="5"/>
  <c r="K453" i="5"/>
  <c r="L453" i="5"/>
  <c r="L454" i="5" s="1"/>
  <c r="L455" i="5" s="1"/>
  <c r="H453" i="5"/>
  <c r="B453" i="5"/>
  <c r="P454" i="5" l="1"/>
  <c r="P455" i="5" s="1"/>
  <c r="J454" i="5"/>
  <c r="J455" i="5" s="1"/>
  <c r="E454" i="5"/>
  <c r="E455" i="5" s="1"/>
  <c r="K454" i="5"/>
  <c r="K455" i="5" s="1"/>
  <c r="R454" i="5"/>
  <c r="R455" i="5" s="1"/>
  <c r="H454" i="5"/>
  <c r="H455" i="5" s="1"/>
  <c r="I454" i="5"/>
  <c r="I455" i="5" s="1"/>
  <c r="M454" i="5"/>
  <c r="M455" i="5" s="1"/>
  <c r="D454" i="5"/>
  <c r="D455" i="5" s="1"/>
  <c r="G454" i="5"/>
  <c r="G455" i="5" s="1"/>
  <c r="F454" i="5"/>
  <c r="F455" i="5" s="1"/>
  <c r="B1633" i="1"/>
  <c r="N454" i="5"/>
  <c r="N455" i="5" s="1"/>
  <c r="C454" i="5"/>
  <c r="C455" i="5" s="1"/>
  <c r="B1629" i="1"/>
  <c r="B1634" i="1"/>
  <c r="B454" i="5"/>
  <c r="B455" i="5" s="1"/>
  <c r="B1632" i="1"/>
  <c r="B1631" i="1"/>
  <c r="F1632" i="1" l="1"/>
  <c r="G1632" i="1" s="1"/>
  <c r="F1631" i="1"/>
  <c r="H1631" i="1" s="1"/>
  <c r="F1633" i="1"/>
  <c r="G1633" i="1" s="1"/>
  <c r="H1632" i="1" l="1"/>
  <c r="H1633" i="1"/>
  <c r="G1631" i="1"/>
  <c r="E1633" i="1" l="1"/>
  <c r="E1632" i="1"/>
  <c r="R40" i="6" l="1"/>
  <c r="G1636" i="1"/>
  <c r="R39" i="6" s="1"/>
  <c r="G1635" i="1"/>
  <c r="A1636" i="1" l="1"/>
  <c r="A457" i="5"/>
  <c r="G1645" i="1"/>
  <c r="G1639" i="1"/>
  <c r="G1646" i="1" l="1"/>
  <c r="G1708" i="1" s="1"/>
  <c r="G1763" i="1" s="1"/>
  <c r="G1809" i="1" s="1"/>
  <c r="G1887" i="1" s="1"/>
  <c r="G1707" i="1"/>
  <c r="G1762" i="1" s="1"/>
  <c r="G1808" i="1" s="1"/>
  <c r="A1637" i="1"/>
  <c r="A1689" i="1" s="1"/>
  <c r="A1688" i="1"/>
  <c r="B457" i="5"/>
  <c r="B466" i="5" s="1"/>
  <c r="R457" i="5"/>
  <c r="R466" i="5" s="1"/>
  <c r="N457" i="5"/>
  <c r="N466" i="5" s="1"/>
  <c r="J457" i="5"/>
  <c r="J466" i="5" s="1"/>
  <c r="F457" i="5"/>
  <c r="F466" i="5" s="1"/>
  <c r="K457" i="5"/>
  <c r="K466" i="5" s="1"/>
  <c r="C457" i="5"/>
  <c r="C466" i="5" s="1"/>
  <c r="Q457" i="5"/>
  <c r="Q466" i="5" s="1"/>
  <c r="M457" i="5"/>
  <c r="M466" i="5" s="1"/>
  <c r="I457" i="5"/>
  <c r="I466" i="5" s="1"/>
  <c r="E457" i="5"/>
  <c r="E466" i="5" s="1"/>
  <c r="P457" i="5"/>
  <c r="P466" i="5" s="1"/>
  <c r="L457" i="5"/>
  <c r="L466" i="5" s="1"/>
  <c r="H457" i="5"/>
  <c r="H466" i="5" s="1"/>
  <c r="D457" i="5"/>
  <c r="D466" i="5" s="1"/>
  <c r="O457" i="5"/>
  <c r="O466" i="5" s="1"/>
  <c r="G457" i="5"/>
  <c r="G466" i="5" s="1"/>
  <c r="A1656" i="1"/>
  <c r="B1656" i="1" s="1"/>
  <c r="G1642" i="1"/>
  <c r="G1643" i="1" s="1"/>
  <c r="G1647" i="1"/>
  <c r="G1709" i="1" s="1"/>
  <c r="G1764" i="1" s="1"/>
  <c r="G1810" i="1" s="1"/>
  <c r="G1888" i="1" s="1"/>
  <c r="J1819" i="1" l="1"/>
  <c r="B1818" i="1" s="1"/>
  <c r="G1886" i="1"/>
  <c r="A1638" i="1"/>
  <c r="A1658" i="1" s="1"/>
  <c r="B1658" i="1" s="1"/>
  <c r="H1642" i="1"/>
  <c r="H1644" i="1" s="1"/>
  <c r="A1657" i="1"/>
  <c r="B1657" i="1" s="1"/>
  <c r="G1644" i="1"/>
  <c r="E26" i="6" l="1"/>
  <c r="P26" i="6" s="1"/>
  <c r="A1886" i="1"/>
  <c r="A1639" i="1"/>
  <c r="J1642" i="1" s="1"/>
  <c r="J1643" i="1" s="1"/>
  <c r="I1642" i="1"/>
  <c r="I1643" i="1" s="1"/>
  <c r="A1690" i="1"/>
  <c r="H1643" i="1"/>
  <c r="G26" i="6" l="1"/>
  <c r="H26" i="6" s="1"/>
  <c r="I26" i="6" s="1"/>
  <c r="F26" i="6"/>
  <c r="L26" i="6"/>
  <c r="K26" i="6"/>
  <c r="Q26" i="6"/>
  <c r="N26" i="6"/>
  <c r="M26" i="6"/>
  <c r="O26" i="6"/>
  <c r="J26" i="6"/>
  <c r="R26" i="6"/>
  <c r="A1691" i="1"/>
  <c r="A1659" i="1"/>
  <c r="B1659" i="1" s="1"/>
  <c r="A1640" i="1"/>
  <c r="A1660" i="1" s="1"/>
  <c r="B1660" i="1" s="1"/>
  <c r="I1644" i="1"/>
  <c r="J1644" i="1"/>
  <c r="G1655" i="1" l="1"/>
  <c r="H1657" i="1" s="1"/>
  <c r="A1692" i="1"/>
  <c r="K1642" i="1"/>
  <c r="K1643" i="1" s="1"/>
  <c r="H1655" i="1" l="1"/>
  <c r="H1658" i="1"/>
  <c r="H1656" i="1"/>
  <c r="K1644" i="1"/>
  <c r="H1715" i="1" l="1"/>
  <c r="S10" i="6"/>
  <c r="G1659" i="1"/>
  <c r="G1662" i="1"/>
  <c r="F1662" i="1"/>
  <c r="G1668" i="1" s="1"/>
  <c r="E1671" i="1" s="1"/>
  <c r="A458" i="5"/>
  <c r="J458" i="5" s="1"/>
  <c r="G1664" i="1"/>
  <c r="D1708" i="1"/>
  <c r="D1763" i="1" s="1"/>
  <c r="D1809" i="1" s="1"/>
  <c r="F1688" i="1"/>
  <c r="F1695" i="1" s="1"/>
  <c r="G458" i="5" l="1"/>
  <c r="R458" i="5"/>
  <c r="O458" i="5"/>
  <c r="C458" i="5"/>
  <c r="P458" i="5"/>
  <c r="M458" i="5"/>
  <c r="B458" i="5"/>
  <c r="L458" i="5"/>
  <c r="Q458" i="5"/>
  <c r="K458" i="5"/>
  <c r="N458" i="5"/>
  <c r="I458" i="5"/>
  <c r="E458" i="5"/>
  <c r="H458" i="5"/>
  <c r="D458" i="5"/>
  <c r="F458" i="5"/>
  <c r="B1665" i="1" l="1"/>
  <c r="A1663" i="1"/>
  <c r="A1662" i="1"/>
  <c r="B1664" i="1"/>
  <c r="B1663" i="1"/>
  <c r="B1662" i="1"/>
  <c r="A1665" i="1"/>
  <c r="A1664" i="1"/>
  <c r="C1664" i="1" l="1"/>
  <c r="C1662" i="1"/>
  <c r="F1666" i="1"/>
  <c r="F1682" i="1" s="1"/>
  <c r="F1663" i="1"/>
  <c r="H1668" i="1" s="1"/>
  <c r="C1663" i="1"/>
  <c r="C1665" i="1"/>
  <c r="F1664" i="1"/>
  <c r="G1665" i="1" s="1"/>
  <c r="F1665" i="1"/>
  <c r="F1681" i="1" s="1"/>
  <c r="G1663" i="1" l="1"/>
  <c r="S12" i="6" s="1"/>
  <c r="G1669" i="1"/>
  <c r="E1674" i="1" s="1"/>
  <c r="I1668" i="1"/>
  <c r="E1673" i="1" s="1"/>
  <c r="H1669" i="1"/>
  <c r="E1675" i="1" s="1"/>
  <c r="E1672" i="1"/>
  <c r="B460" i="5"/>
  <c r="C460" i="5" l="1"/>
  <c r="K461" i="5" s="1"/>
  <c r="H1675" i="1"/>
  <c r="D1680" i="1" s="1"/>
  <c r="H1673" i="1"/>
  <c r="H1671" i="1"/>
  <c r="H1672" i="1"/>
  <c r="H1674" i="1"/>
  <c r="D1683" i="1" l="1"/>
  <c r="D1679" i="1"/>
  <c r="B1712" i="1"/>
  <c r="B1767" i="1" s="1"/>
  <c r="B1813" i="1" s="1"/>
  <c r="S15" i="6"/>
  <c r="E461" i="5"/>
  <c r="N461" i="5"/>
  <c r="J461" i="5"/>
  <c r="P461" i="5"/>
  <c r="M461" i="5"/>
  <c r="F461" i="5"/>
  <c r="C461" i="5"/>
  <c r="B461" i="5"/>
  <c r="I461" i="5"/>
  <c r="R461" i="5"/>
  <c r="O461" i="5"/>
  <c r="L461" i="5"/>
  <c r="Q461" i="5"/>
  <c r="G461" i="5"/>
  <c r="D461" i="5"/>
  <c r="H461" i="5"/>
  <c r="A462" i="5"/>
  <c r="K462" i="5" s="1"/>
  <c r="G1676" i="1"/>
  <c r="G1679" i="1"/>
  <c r="E1683" i="1" l="1"/>
  <c r="D1682" i="1"/>
  <c r="E1682" i="1" s="1"/>
  <c r="D1681" i="1"/>
  <c r="E1681" i="1" s="1"/>
  <c r="Q462" i="5"/>
  <c r="O462" i="5"/>
  <c r="N462" i="5"/>
  <c r="I462" i="5"/>
  <c r="M462" i="5"/>
  <c r="E462" i="5"/>
  <c r="B462" i="5"/>
  <c r="H462" i="5"/>
  <c r="D462" i="5"/>
  <c r="P462" i="5"/>
  <c r="J462" i="5"/>
  <c r="G462" i="5"/>
  <c r="L462" i="5"/>
  <c r="R462" i="5"/>
  <c r="F462" i="5"/>
  <c r="C462" i="5"/>
  <c r="D1684" i="1" l="1"/>
  <c r="D1685" i="1" s="1"/>
  <c r="A463" i="5"/>
  <c r="A464" i="5" s="1"/>
  <c r="G1680" i="1" l="1"/>
  <c r="G1681" i="1" s="1"/>
  <c r="G1682" i="1" l="1"/>
  <c r="G1684" i="1" s="1"/>
  <c r="G1688" i="1" s="1"/>
  <c r="G1685" i="1" l="1"/>
  <c r="H1688" i="1" s="1"/>
  <c r="B1692" i="1" s="1"/>
  <c r="D1691" i="1"/>
  <c r="D1694" i="1" s="1"/>
  <c r="D45" i="6"/>
  <c r="A467" i="5"/>
  <c r="P467" i="5" s="1"/>
  <c r="B1688" i="1" l="1"/>
  <c r="S17" i="6"/>
  <c r="B1690" i="1"/>
  <c r="B1691" i="1"/>
  <c r="D46" i="6"/>
  <c r="B1689" i="1"/>
  <c r="A468" i="5"/>
  <c r="P468" i="5" s="1"/>
  <c r="P469" i="5" s="1"/>
  <c r="B467" i="5"/>
  <c r="M467" i="5"/>
  <c r="J467" i="5"/>
  <c r="Q467" i="5"/>
  <c r="Q468" i="5" s="1"/>
  <c r="Q469" i="5" s="1"/>
  <c r="N467" i="5"/>
  <c r="D1692" i="1"/>
  <c r="D1695" i="1" s="1"/>
  <c r="R467" i="5"/>
  <c r="C467" i="5"/>
  <c r="C468" i="5" s="1"/>
  <c r="C469" i="5" s="1"/>
  <c r="L467" i="5"/>
  <c r="E467" i="5"/>
  <c r="I467" i="5"/>
  <c r="H467" i="5"/>
  <c r="D467" i="5"/>
  <c r="F467" i="5"/>
  <c r="G467" i="5"/>
  <c r="O467" i="5"/>
  <c r="O468" i="5" s="1"/>
  <c r="O469" i="5" s="1"/>
  <c r="K467" i="5"/>
  <c r="H468" i="5" l="1"/>
  <c r="H469" i="5" s="1"/>
  <c r="D468" i="5"/>
  <c r="D469" i="5" s="1"/>
  <c r="K468" i="5"/>
  <c r="K469" i="5" s="1"/>
  <c r="B468" i="5"/>
  <c r="B469" i="5" s="1"/>
  <c r="L468" i="5"/>
  <c r="L469" i="5" s="1"/>
  <c r="I468" i="5"/>
  <c r="I469" i="5" s="1"/>
  <c r="E468" i="5"/>
  <c r="E469" i="5" s="1"/>
  <c r="J468" i="5"/>
  <c r="J469" i="5" s="1"/>
  <c r="G468" i="5"/>
  <c r="G469" i="5" s="1"/>
  <c r="F468" i="5"/>
  <c r="F469" i="5" s="1"/>
  <c r="M468" i="5"/>
  <c r="M469" i="5" s="1"/>
  <c r="R468" i="5"/>
  <c r="R469" i="5" s="1"/>
  <c r="N468" i="5"/>
  <c r="N469" i="5" s="1"/>
  <c r="F1690" i="1"/>
  <c r="F1691" i="1"/>
  <c r="H1691" i="1" l="1"/>
  <c r="H1690" i="1"/>
  <c r="G1690" i="1"/>
  <c r="G1691" i="1"/>
  <c r="E1692" i="1" l="1"/>
  <c r="E1691" i="1"/>
  <c r="G1693" i="1" l="1"/>
  <c r="D44" i="6" s="1"/>
  <c r="G1694" i="1" l="1"/>
  <c r="G1695" i="1" s="1"/>
  <c r="H1695" i="1" s="1"/>
  <c r="E1694" i="1" s="1"/>
  <c r="E1695" i="1" l="1"/>
  <c r="G1697" i="1" s="1"/>
  <c r="S40" i="6" l="1"/>
  <c r="G1698" i="1"/>
  <c r="K1704" i="1" s="1"/>
  <c r="S39" i="6" l="1"/>
  <c r="A1694" i="1"/>
  <c r="E1716" i="1" s="1"/>
  <c r="F1716" i="1" s="1"/>
  <c r="G1701" i="1"/>
  <c r="A471" i="5"/>
  <c r="O471" i="5" s="1"/>
  <c r="K1759" i="1"/>
  <c r="K1805" i="1" s="1"/>
  <c r="K1706" i="1"/>
  <c r="K1761" i="1" s="1"/>
  <c r="K1807" i="1" s="1"/>
  <c r="K1885" i="1" s="1"/>
  <c r="K1705" i="1"/>
  <c r="K1760" i="1" s="1"/>
  <c r="K1806" i="1" s="1"/>
  <c r="K1884" i="1" s="1"/>
  <c r="L471" i="5" l="1"/>
  <c r="R471" i="5"/>
  <c r="I471" i="5"/>
  <c r="C471" i="5"/>
  <c r="Q471" i="5"/>
  <c r="K471" i="5"/>
  <c r="P471" i="5"/>
  <c r="G471" i="5"/>
  <c r="D471" i="5"/>
  <c r="B471" i="5"/>
  <c r="F471" i="5"/>
  <c r="M471" i="5"/>
  <c r="H471" i="5"/>
  <c r="G1704" i="1"/>
  <c r="G1706" i="1" s="1"/>
  <c r="A1695" i="1"/>
  <c r="A1696" i="1" s="1"/>
  <c r="E471" i="5"/>
  <c r="N471" i="5"/>
  <c r="J471" i="5"/>
  <c r="K1883" i="1"/>
  <c r="I1819" i="1"/>
  <c r="B1817" i="1" s="1"/>
  <c r="G1705" i="1" l="1"/>
  <c r="H1704" i="1"/>
  <c r="H1706" i="1" s="1"/>
  <c r="E1717" i="1"/>
  <c r="F1717" i="1" s="1"/>
  <c r="E1718" i="1"/>
  <c r="F1718" i="1" s="1"/>
  <c r="I1704" i="1"/>
  <c r="A1697" i="1"/>
  <c r="E25" i="6"/>
  <c r="A1885" i="1"/>
  <c r="H1705" i="1" l="1"/>
  <c r="R25" i="6"/>
  <c r="M25" i="6"/>
  <c r="F25" i="6"/>
  <c r="N25" i="6"/>
  <c r="P25" i="6"/>
  <c r="K25" i="6"/>
  <c r="L25" i="6"/>
  <c r="O25" i="6"/>
  <c r="Q25" i="6"/>
  <c r="G25" i="6"/>
  <c r="H25" i="6" s="1"/>
  <c r="I25" i="6" s="1"/>
  <c r="J25" i="6"/>
  <c r="S25" i="6"/>
  <c r="J1704" i="1"/>
  <c r="E1719" i="1"/>
  <c r="F1719" i="1" s="1"/>
  <c r="H1719" i="1" s="1"/>
  <c r="I1706" i="1"/>
  <c r="I1705" i="1"/>
  <c r="H1718" i="1" l="1"/>
  <c r="H1717" i="1"/>
  <c r="J1706" i="1"/>
  <c r="J1705" i="1"/>
  <c r="G1723" i="1"/>
  <c r="E1763" i="1"/>
  <c r="E1809" i="1" s="1"/>
  <c r="F1722" i="1"/>
  <c r="G1729" i="1" s="1"/>
  <c r="E1732" i="1" s="1"/>
  <c r="G1725" i="1"/>
  <c r="F1748" i="1"/>
  <c r="G1720" i="1"/>
  <c r="T10" i="6"/>
  <c r="A472" i="5"/>
  <c r="B472" i="5" s="1"/>
  <c r="M472" i="5" l="1"/>
  <c r="F472" i="5"/>
  <c r="O472" i="5"/>
  <c r="D472" i="5"/>
  <c r="G472" i="5"/>
  <c r="C472" i="5"/>
  <c r="K472" i="5"/>
  <c r="R472" i="5"/>
  <c r="H472" i="5"/>
  <c r="E472" i="5"/>
  <c r="I472" i="5"/>
  <c r="P472" i="5"/>
  <c r="N472" i="5"/>
  <c r="Q472" i="5"/>
  <c r="L472" i="5"/>
  <c r="J472" i="5"/>
  <c r="C1723" i="1" l="1"/>
  <c r="C1724" i="1"/>
  <c r="C1725" i="1"/>
  <c r="D1725" i="1"/>
  <c r="D1724" i="1"/>
  <c r="D1723" i="1"/>
  <c r="F1725" i="1" l="1"/>
  <c r="H1730" i="1" s="1"/>
  <c r="E1735" i="1" s="1"/>
  <c r="F1723" i="1"/>
  <c r="F1724" i="1"/>
  <c r="G1726" i="1" l="1"/>
  <c r="I1729" i="1"/>
  <c r="E1734" i="1" s="1"/>
  <c r="G1724" i="1"/>
  <c r="H1729" i="1"/>
  <c r="E1733" i="1" s="1"/>
  <c r="H1732" i="1" s="1"/>
  <c r="T12" i="6" l="1"/>
  <c r="H1733" i="1"/>
  <c r="H1734" i="1"/>
  <c r="H1735" i="1"/>
  <c r="G1740" i="1" l="1"/>
  <c r="G1736" i="1"/>
  <c r="C1767" i="1"/>
  <c r="C1813" i="1" s="1"/>
  <c r="G1739" i="1"/>
  <c r="F1750" i="1"/>
  <c r="T15" i="6"/>
  <c r="D1750" i="1" l="1"/>
  <c r="G1750" i="1"/>
  <c r="G1741" i="1"/>
  <c r="G1742" i="1"/>
  <c r="G1744" i="1" s="1"/>
  <c r="G1745" i="1" l="1"/>
  <c r="H1748" i="1" s="1"/>
  <c r="D1752" i="1" s="1"/>
  <c r="E1752" i="1" s="1"/>
  <c r="A50" i="6"/>
  <c r="G1748" i="1"/>
  <c r="D1751" i="1" s="1"/>
  <c r="E1751" i="1" s="1"/>
  <c r="H1750" i="1" l="1"/>
  <c r="G1753" i="1" s="1"/>
  <c r="D1754" i="1" s="1"/>
  <c r="A51" i="6"/>
  <c r="T17" i="6"/>
  <c r="J1759" i="1" l="1"/>
  <c r="J1761" i="1" s="1"/>
  <c r="J1807" i="1" s="1"/>
  <c r="J1885" i="1" s="1"/>
  <c r="G1756" i="1"/>
  <c r="D1755" i="1"/>
  <c r="G1759" i="1"/>
  <c r="J1805" i="1" l="1"/>
  <c r="J1883" i="1" s="1"/>
  <c r="J1760" i="1"/>
  <c r="J1806" i="1" s="1"/>
  <c r="J1884" i="1" s="1"/>
  <c r="G1770" i="1"/>
  <c r="E1772" i="1" s="1"/>
  <c r="G1760" i="1"/>
  <c r="G1761" i="1"/>
  <c r="H1759" i="1"/>
  <c r="D1756" i="1"/>
  <c r="I1759" i="1" s="1"/>
  <c r="H1819" i="1" l="1"/>
  <c r="B1816" i="1" s="1"/>
  <c r="E24" i="6"/>
  <c r="A1884" i="1"/>
  <c r="I1770" i="1"/>
  <c r="E1774" i="1" s="1"/>
  <c r="I1761" i="1"/>
  <c r="I1760" i="1"/>
  <c r="H1770" i="1"/>
  <c r="E1773" i="1" s="1"/>
  <c r="H1761" i="1"/>
  <c r="H1760" i="1"/>
  <c r="H1772" i="1" l="1"/>
  <c r="E1780" i="1" s="1"/>
  <c r="H1773" i="1"/>
  <c r="E1781" i="1" s="1"/>
  <c r="H1774" i="1"/>
  <c r="G1775" i="1" s="1"/>
  <c r="T24" i="6"/>
  <c r="Q24" i="6"/>
  <c r="P24" i="6"/>
  <c r="R24" i="6"/>
  <c r="O24" i="6"/>
  <c r="G24" i="6"/>
  <c r="H24" i="6" s="1"/>
  <c r="I24" i="6" s="1"/>
  <c r="T39" i="6"/>
  <c r="J24" i="6"/>
  <c r="M24" i="6"/>
  <c r="L24" i="6"/>
  <c r="F24" i="6"/>
  <c r="N24" i="6"/>
  <c r="K24" i="6"/>
  <c r="S24" i="6"/>
  <c r="H1780" i="1" l="1"/>
  <c r="D1795" i="1" s="1"/>
  <c r="D1780" i="1"/>
  <c r="G1778" i="1" s="1"/>
  <c r="H1778" i="1" s="1"/>
  <c r="H1781" i="1"/>
  <c r="E1788" i="1" s="1"/>
  <c r="E1787" i="1"/>
  <c r="H1787" i="1" l="1"/>
  <c r="D1796" i="1" s="1"/>
  <c r="C1795" i="1" s="1"/>
  <c r="G1793" i="1" s="1"/>
  <c r="H1793" i="1" s="1"/>
  <c r="U12" i="6" s="1"/>
  <c r="D1787" i="1"/>
  <c r="G1785" i="1" s="1"/>
  <c r="H1785" i="1" s="1"/>
  <c r="G1782" i="1"/>
  <c r="H1788" i="1"/>
  <c r="G1789" i="1" s="1"/>
  <c r="F1809" i="1" l="1"/>
  <c r="D1794" i="1"/>
  <c r="U10" i="6"/>
  <c r="G1790" i="1"/>
  <c r="E1796" i="1" l="1"/>
  <c r="E1795" i="1"/>
  <c r="F1795" i="1"/>
  <c r="G1795" i="1" s="1"/>
  <c r="H1795" i="1" l="1"/>
  <c r="G1798" i="1" s="1"/>
  <c r="I1805" i="1" s="1"/>
  <c r="G1819" i="1" s="1"/>
  <c r="B1815" i="1" s="1"/>
  <c r="E1815" i="1" s="1"/>
  <c r="I1807" i="1" l="1"/>
  <c r="I1885" i="1" s="1"/>
  <c r="I1883" i="1"/>
  <c r="A1883" i="1" s="1"/>
  <c r="G1880" i="1" s="1"/>
  <c r="D1802" i="1"/>
  <c r="C1802" i="1" s="1"/>
  <c r="I1806" i="1"/>
  <c r="I1884" i="1" s="1"/>
  <c r="G1801" i="1"/>
  <c r="G1824" i="1"/>
  <c r="G1869" i="1"/>
  <c r="E1816" i="1"/>
  <c r="G1870" i="1" s="1"/>
  <c r="E1819" i="1"/>
  <c r="E1823" i="1"/>
  <c r="G1877" i="1" s="1"/>
  <c r="E1817" i="1"/>
  <c r="E1818" i="1"/>
  <c r="G1872" i="1" s="1"/>
  <c r="E1822" i="1"/>
  <c r="G1876" i="1" s="1"/>
  <c r="E1820" i="1"/>
  <c r="E1821" i="1"/>
  <c r="E23" i="6" l="1"/>
  <c r="L23" i="6" s="1"/>
  <c r="D1803" i="1"/>
  <c r="A476" i="5" s="1"/>
  <c r="G1805" i="1"/>
  <c r="G1816" i="1" s="1"/>
  <c r="E1844" i="1" s="1"/>
  <c r="A475" i="5"/>
  <c r="N475" i="5" s="1"/>
  <c r="G1828" i="1"/>
  <c r="G1873" i="1"/>
  <c r="G1840" i="1"/>
  <c r="G1832" i="1"/>
  <c r="G1871" i="1"/>
  <c r="G1836" i="1"/>
  <c r="G1874" i="1"/>
  <c r="G1875" i="1"/>
  <c r="J23" i="6" l="1"/>
  <c r="K23" i="6"/>
  <c r="P23" i="6"/>
  <c r="R23" i="6"/>
  <c r="G23" i="6"/>
  <c r="H23" i="6" s="1"/>
  <c r="I23" i="6" s="1"/>
  <c r="U39" i="6"/>
  <c r="S23" i="6"/>
  <c r="M23" i="6"/>
  <c r="T23" i="6"/>
  <c r="O23" i="6"/>
  <c r="F23" i="6"/>
  <c r="Q23" i="6"/>
  <c r="N23" i="6"/>
  <c r="E1856" i="1"/>
  <c r="E1832" i="1"/>
  <c r="E1852" i="1"/>
  <c r="E1836" i="1"/>
  <c r="E1840" i="1"/>
  <c r="E1848" i="1"/>
  <c r="E1828" i="1"/>
  <c r="B1861" i="1" s="1"/>
  <c r="N476" i="5"/>
  <c r="N477" i="5" s="1"/>
  <c r="H475" i="5"/>
  <c r="H476" i="5" s="1"/>
  <c r="H477" i="5" s="1"/>
  <c r="I475" i="5"/>
  <c r="I476" i="5" s="1"/>
  <c r="I477" i="5" s="1"/>
  <c r="E475" i="5"/>
  <c r="E476" i="5" s="1"/>
  <c r="E477" i="5" s="1"/>
  <c r="L475" i="5"/>
  <c r="L476" i="5" s="1"/>
  <c r="L477" i="5" s="1"/>
  <c r="C1803" i="1"/>
  <c r="C1804" i="1" s="1"/>
  <c r="G1802" i="1" s="1"/>
  <c r="H1805" i="1"/>
  <c r="H1806" i="1" s="1"/>
  <c r="G475" i="5"/>
  <c r="G476" i="5" s="1"/>
  <c r="G477" i="5" s="1"/>
  <c r="M475" i="5"/>
  <c r="M476" i="5" s="1"/>
  <c r="M477" i="5" s="1"/>
  <c r="P475" i="5"/>
  <c r="P476" i="5" s="1"/>
  <c r="P477" i="5" s="1"/>
  <c r="D475" i="5"/>
  <c r="D476" i="5" s="1"/>
  <c r="D477" i="5" s="1"/>
  <c r="O475" i="5"/>
  <c r="O476" i="5" s="1"/>
  <c r="O477" i="5" s="1"/>
  <c r="K475" i="5"/>
  <c r="K476" i="5" s="1"/>
  <c r="K477" i="5" s="1"/>
  <c r="F475" i="5"/>
  <c r="F476" i="5" s="1"/>
  <c r="F477" i="5" s="1"/>
  <c r="R475" i="5"/>
  <c r="R476" i="5" s="1"/>
  <c r="R477" i="5" s="1"/>
  <c r="B475" i="5"/>
  <c r="B476" i="5" s="1"/>
  <c r="B477" i="5" s="1"/>
  <c r="Q475" i="5"/>
  <c r="Q476" i="5" s="1"/>
  <c r="Q477" i="5" s="1"/>
  <c r="G1807" i="1"/>
  <c r="C475" i="5"/>
  <c r="C476" i="5" s="1"/>
  <c r="C477" i="5" s="1"/>
  <c r="G1806" i="1"/>
  <c r="J475" i="5"/>
  <c r="J476" i="5" s="1"/>
  <c r="J477" i="5" s="1"/>
  <c r="D1819" i="1" l="1"/>
  <c r="D1817" i="1"/>
  <c r="D1821" i="1"/>
  <c r="D1818" i="1"/>
  <c r="H1807" i="1"/>
  <c r="D1820" i="1"/>
  <c r="D1816" i="1"/>
  <c r="H1816" i="1"/>
  <c r="D1823" i="1"/>
  <c r="D1815" i="1"/>
  <c r="D1822" i="1"/>
  <c r="F1815" i="1" l="1"/>
  <c r="G1825" i="1" s="1"/>
  <c r="F1823" i="1"/>
  <c r="F1817" i="1"/>
  <c r="G1833" i="1" s="1"/>
  <c r="F1816" i="1"/>
  <c r="G1829" i="1" s="1"/>
  <c r="F1819" i="1"/>
  <c r="G1841" i="1" s="1"/>
  <c r="F1821" i="1"/>
  <c r="H1875" i="1" s="1"/>
  <c r="F1818" i="1"/>
  <c r="H1872" i="1" s="1"/>
  <c r="F1844" i="1"/>
  <c r="F1852" i="1"/>
  <c r="F1836" i="1"/>
  <c r="F1856" i="1"/>
  <c r="F1848" i="1"/>
  <c r="F1840" i="1"/>
  <c r="F1832" i="1"/>
  <c r="F1828" i="1"/>
  <c r="B1862" i="1" s="1"/>
  <c r="F1820" i="1"/>
  <c r="H1874" i="1" s="1"/>
  <c r="F1822" i="1"/>
  <c r="H1876" i="1" s="1"/>
  <c r="V26" i="6" l="1"/>
  <c r="H1870" i="1"/>
  <c r="V29" i="6"/>
  <c r="H1873" i="1"/>
  <c r="H1869" i="1"/>
  <c r="V25" i="6"/>
  <c r="V31" i="6"/>
  <c r="H1871" i="1"/>
  <c r="G1837" i="1"/>
  <c r="H1877" i="1"/>
  <c r="V23" i="6"/>
  <c r="V30" i="6"/>
  <c r="V24" i="6"/>
  <c r="C1861" i="1"/>
  <c r="C1862" i="1"/>
  <c r="V27" i="6"/>
  <c r="V28" i="6"/>
  <c r="E1829" i="1"/>
  <c r="F1829" i="1"/>
  <c r="G1867" i="1" l="1"/>
  <c r="G1862" i="1"/>
  <c r="B1863" i="1"/>
  <c r="B1864" i="1" s="1"/>
  <c r="H1883" i="1" s="1"/>
  <c r="E22" i="6" s="1"/>
  <c r="G1830" i="1"/>
  <c r="F1833" i="1" s="1"/>
  <c r="H1885" i="1" l="1"/>
  <c r="G1883" i="1"/>
  <c r="E21" i="6" s="1"/>
  <c r="M21" i="6" s="1"/>
  <c r="H1884" i="1"/>
  <c r="E1833" i="1"/>
  <c r="G1834" i="1" s="1"/>
  <c r="V40" i="6"/>
  <c r="L22" i="6"/>
  <c r="J22" i="6"/>
  <c r="O22" i="6"/>
  <c r="U22" i="6"/>
  <c r="R22" i="6"/>
  <c r="Q22" i="6"/>
  <c r="F22" i="6"/>
  <c r="M22" i="6"/>
  <c r="V39" i="6"/>
  <c r="S22" i="6"/>
  <c r="K22" i="6"/>
  <c r="N22" i="6"/>
  <c r="P22" i="6"/>
  <c r="T22" i="6"/>
  <c r="G22" i="6"/>
  <c r="H22" i="6" s="1"/>
  <c r="I22" i="6" s="1"/>
  <c r="N21" i="6" l="1"/>
  <c r="R21" i="6"/>
  <c r="U21" i="6"/>
  <c r="T21" i="6"/>
  <c r="V41" i="6"/>
  <c r="V42" i="6"/>
  <c r="O21" i="6"/>
  <c r="F21" i="6"/>
  <c r="J21" i="6"/>
  <c r="Q21" i="6"/>
  <c r="L21" i="6"/>
  <c r="G21" i="6"/>
  <c r="H21" i="6" s="1"/>
  <c r="I21" i="6" s="1"/>
  <c r="S21" i="6"/>
  <c r="K21" i="6"/>
  <c r="P21" i="6"/>
  <c r="G1884" i="1"/>
  <c r="G1885" i="1"/>
  <c r="E1837" i="1"/>
  <c r="F1837" i="1"/>
  <c r="G1838" i="1" l="1"/>
  <c r="F1841" i="1" l="1"/>
  <c r="E1841" i="1"/>
  <c r="G1842" i="1" l="1"/>
  <c r="G1844" i="1"/>
  <c r="E1860" i="1"/>
  <c r="F1860" i="1" s="1"/>
  <c r="D1860" i="1" s="1"/>
  <c r="G1845" i="1" l="1"/>
  <c r="F1845" i="1" s="1"/>
  <c r="E1845" i="1" l="1"/>
  <c r="G1846" i="1" s="1"/>
  <c r="G1848" i="1" l="1"/>
  <c r="G1849" i="1" s="1"/>
  <c r="E1861" i="1"/>
  <c r="F1861" i="1" s="1"/>
  <c r="D1861" i="1" s="1"/>
  <c r="E1849" i="1" l="1"/>
  <c r="F1849" i="1"/>
  <c r="G1852" i="1" l="1"/>
  <c r="G1853" i="1" s="1"/>
  <c r="G1850" i="1"/>
  <c r="E1862" i="1"/>
  <c r="F1862" i="1" s="1"/>
  <c r="D1862" i="1" s="1"/>
  <c r="E1853" i="1" l="1"/>
  <c r="F1853" i="1"/>
  <c r="E1863" i="1" l="1"/>
  <c r="F1863" i="1" s="1"/>
  <c r="D1863" i="1" s="1"/>
  <c r="E1867" i="1" s="1"/>
  <c r="G1854" i="1"/>
  <c r="G1856" i="1"/>
  <c r="G1857" i="1" s="1"/>
  <c r="F1857" i="1" l="1"/>
  <c r="E1857" i="1"/>
  <c r="E1865" i="1"/>
  <c r="D1867" i="1"/>
  <c r="D1865" i="1"/>
  <c r="D1866" i="1"/>
  <c r="D1864" i="1"/>
  <c r="E1864" i="1"/>
  <c r="E1866" i="1"/>
  <c r="G1858" i="1" l="1"/>
  <c r="E1868" i="1"/>
  <c r="G1865" i="1" s="1"/>
  <c r="D1868" i="1"/>
  <c r="G1864" i="1" s="1"/>
  <c r="G1860" i="1"/>
  <c r="L310" i="1" l="1"/>
  <c r="L311" i="1" s="1"/>
</calcChain>
</file>

<file path=xl/sharedStrings.xml><?xml version="1.0" encoding="utf-8"?>
<sst xmlns="http://schemas.openxmlformats.org/spreadsheetml/2006/main" count="682" uniqueCount="268">
  <si>
    <t>Insert 16-</t>
  </si>
  <si>
    <t>Insert 2nd chancer-</t>
  </si>
  <si>
    <t>Settings-</t>
  </si>
  <si>
    <t>Popularity Logic-</t>
  </si>
  <si>
    <t>Relationship Logic-</t>
  </si>
  <si>
    <t>On</t>
  </si>
  <si>
    <t>Off</t>
  </si>
  <si>
    <t>Use the same values for random selection</t>
  </si>
  <si>
    <t>The HouseGuest will be immune from the next three evictions</t>
  </si>
  <si>
    <t>The Ring of Replacement</t>
  </si>
  <si>
    <t>The Pendant of Protection</t>
  </si>
  <si>
    <t>The HouseGuest will have the power to swap with one of the randomly drawn players in the Power of Veto competition and take their place and have the power to participate in any veto competition. This temptation can only be used once.</t>
  </si>
  <si>
    <t>The Halting Hex</t>
  </si>
  <si>
    <t>The HouseGuest will have the power to stop one of the next 4 evictions, meaning that no eviction vote would be held and no one would be evicted.</t>
  </si>
  <si>
    <t>Leave blank for random selection</t>
  </si>
  <si>
    <t>Set Values (0-100) for who you want to win each den temptation</t>
  </si>
  <si>
    <t>(1 of top 3 choices will win)</t>
  </si>
  <si>
    <t>(1 of top 5 choices will win)</t>
  </si>
  <si>
    <t>(1 of top 7 choices will win)</t>
  </si>
  <si>
    <t>Go Back</t>
  </si>
  <si>
    <t>First 4 in-</t>
  </si>
  <si>
    <t>Next 4 in-</t>
  </si>
  <si>
    <t>Last 4 in-</t>
  </si>
  <si>
    <t>Twist-</t>
  </si>
  <si>
    <t>The main theme of this season is Temptation.</t>
  </si>
  <si>
    <t>The first comp will be based all about temptation.</t>
  </si>
  <si>
    <t>With each temptation comes a consequence.</t>
  </si>
  <si>
    <t>Comp-</t>
  </si>
  <si>
    <t>The first one to press the buzzer wins $25K</t>
  </si>
  <si>
    <t>And as a result will unleash a consequence</t>
  </si>
  <si>
    <t>On him/herself as well as on the house.</t>
  </si>
  <si>
    <t>Whoever presses the buzzer cannot win first HOH</t>
  </si>
  <si>
    <t>If nobody presses the buzzer, there will be no consequence</t>
  </si>
  <si>
    <t>The first person to press the buzzer is…</t>
  </si>
  <si>
    <t>As a result of someone pressing the buzzer,</t>
  </si>
  <si>
    <t>the next consequence is unleashed on the house</t>
  </si>
  <si>
    <t>Task-</t>
  </si>
  <si>
    <t>There are 9 friendship bracelets</t>
  </si>
  <si>
    <t>A friendship bracelet means safety</t>
  </si>
  <si>
    <t>Safety Ceremony-</t>
  </si>
  <si>
    <t>They will battle it out in a competition to avoid nomination</t>
  </si>
  <si>
    <t>Relationship Settings-</t>
  </si>
  <si>
    <t>Random Relationships-</t>
  </si>
  <si>
    <t>Minimum-</t>
  </si>
  <si>
    <t>Maximum-</t>
  </si>
  <si>
    <t>Using Veto-</t>
  </si>
  <si>
    <t>8th-</t>
  </si>
  <si>
    <t>7th-</t>
  </si>
  <si>
    <t>6th-</t>
  </si>
  <si>
    <t>5th-</t>
  </si>
  <si>
    <t>4th-</t>
  </si>
  <si>
    <t>Safety</t>
  </si>
  <si>
    <t>3rd-</t>
  </si>
  <si>
    <t>2nd-</t>
  </si>
  <si>
    <t>1st-</t>
  </si>
  <si>
    <t>Nomination</t>
  </si>
  <si>
    <t>The rest will open apples to find out their fate</t>
  </si>
  <si>
    <t>The 3 of them will vote whether they want an eviction comp</t>
  </si>
  <si>
    <t>or eviction vote</t>
  </si>
  <si>
    <t>Comp</t>
  </si>
  <si>
    <t>Vote</t>
  </si>
  <si>
    <t>You are safe</t>
  </si>
  <si>
    <t>You have been evicted from the Big Brother House</t>
  </si>
  <si>
    <t>Week 1, Part 2-</t>
  </si>
  <si>
    <t>Week 1, Part 1-</t>
  </si>
  <si>
    <t>HOH-</t>
  </si>
  <si>
    <t>For this HOH, the houseguests will be in 4 teams</t>
  </si>
  <si>
    <t>The first 2 teams to make it will advance to round 2.</t>
  </si>
  <si>
    <t>There is a temptation, however, in the form of a golden apple.</t>
  </si>
  <si>
    <t>Whoever takes the golden apple is immune for the week,</t>
  </si>
  <si>
    <t>but will eliminate his/her team</t>
  </si>
  <si>
    <t>Team 1</t>
  </si>
  <si>
    <t>Team 2</t>
  </si>
  <si>
    <t>Team 3</t>
  </si>
  <si>
    <t>Team 4</t>
  </si>
  <si>
    <t>The person who takes the golden apple is…</t>
  </si>
  <si>
    <t>The two teams that make it to round 2 are…</t>
  </si>
  <si>
    <t>and…</t>
  </si>
  <si>
    <t>Part 2-</t>
  </si>
  <si>
    <t>Each team must only select one player to compete for them</t>
  </si>
  <si>
    <t>in this part of the HOH. Everyone else will still be eligible to</t>
  </si>
  <si>
    <t>be nominated.</t>
  </si>
  <si>
    <t>The first houseguest to complete is…</t>
  </si>
  <si>
    <t>Nomination Ceremony-</t>
  </si>
  <si>
    <t>Announcement-</t>
  </si>
  <si>
    <t>Have Nots-</t>
  </si>
  <si>
    <t>5 people selected by the HOH are Have Nots this week</t>
  </si>
  <si>
    <t>Those 5 are-</t>
  </si>
  <si>
    <t>Have Not Twist-</t>
  </si>
  <si>
    <t>HGC</t>
  </si>
  <si>
    <t>Each week, one have not can request a key</t>
  </si>
  <si>
    <t>to unlock a box. There are 2 boxes. One will</t>
  </si>
  <si>
    <t>extend your stay by a week. The other will end</t>
  </si>
  <si>
    <t>your Have Not status.</t>
  </si>
  <si>
    <t>Den of Temptation-</t>
  </si>
  <si>
    <t>Each houseguest can only be tempted once</t>
  </si>
  <si>
    <t>America will vote someone to receive a temptation each week.</t>
  </si>
  <si>
    <t>This temptation is called 'The Pendant of Protection'</t>
  </si>
  <si>
    <t>The receiver will be immune for the next 3 evictions</t>
  </si>
  <si>
    <t>This week, the temptation recipient is…</t>
  </si>
  <si>
    <t>With each temptation, comes a consequence</t>
  </si>
  <si>
    <t>The recipient and consequence will be revealed later in the week.</t>
  </si>
  <si>
    <t>Renomination Ceremony-</t>
  </si>
  <si>
    <t>The current nominees are-</t>
  </si>
  <si>
    <t>Temptation Consequence-</t>
  </si>
  <si>
    <t>POV Selection-</t>
  </si>
  <si>
    <t>POV Competition-</t>
  </si>
  <si>
    <t>Host-</t>
  </si>
  <si>
    <t>There is a temptation in the POV</t>
  </si>
  <si>
    <t>Whoever picks the gold star is eliminated from the comp,</t>
  </si>
  <si>
    <t>but is a Never Not for the rest of the season</t>
  </si>
  <si>
    <t>POV Ceremony-</t>
  </si>
  <si>
    <t>The final nominees are-</t>
  </si>
  <si>
    <t>Rel. #</t>
  </si>
  <si>
    <t>Eviction-</t>
  </si>
  <si>
    <t>Week 2-</t>
  </si>
  <si>
    <t>Have Nots</t>
  </si>
  <si>
    <t>(none)</t>
  </si>
  <si>
    <t>Week 1</t>
  </si>
  <si>
    <t>HOH</t>
  </si>
  <si>
    <t>Nominees (pre-veto)</t>
  </si>
  <si>
    <t>POV</t>
  </si>
  <si>
    <t>Nominees (post-veto)</t>
  </si>
  <si>
    <t>Nominated</t>
  </si>
  <si>
    <t>Evicted</t>
  </si>
  <si>
    <t>Day 1</t>
  </si>
  <si>
    <t>Day 7</t>
  </si>
  <si>
    <t>Temptation</t>
  </si>
  <si>
    <t>Week 2</t>
  </si>
  <si>
    <t>HN Tempt.</t>
  </si>
  <si>
    <t>Outgoing-</t>
  </si>
  <si>
    <t>13th-</t>
  </si>
  <si>
    <t>12th-</t>
  </si>
  <si>
    <t>11th-</t>
  </si>
  <si>
    <t>10th-</t>
  </si>
  <si>
    <t>9th-</t>
  </si>
  <si>
    <t>The have nots are-</t>
  </si>
  <si>
    <t>Have Not Temptation-</t>
  </si>
  <si>
    <t>This temptation is called the 'Ring of Replacement'</t>
  </si>
  <si>
    <t>The receiver can replace themselves with any selected</t>
  </si>
  <si>
    <t>houseguest in any POV Selection over the season.</t>
  </si>
  <si>
    <t>They will use this once.</t>
  </si>
  <si>
    <t>The person who gets this temptation is…</t>
  </si>
  <si>
    <t>costumes for the rest of the week</t>
  </si>
  <si>
    <t>Week 3, Part 1-</t>
  </si>
  <si>
    <t>Week 3</t>
  </si>
  <si>
    <t>(First week is random Have Nots)</t>
  </si>
  <si>
    <t>This temptation is called the 'Halting Hex'</t>
  </si>
  <si>
    <t>The receiver can stop one of the next 4 evictions</t>
  </si>
  <si>
    <t>They will use this before the vote</t>
  </si>
  <si>
    <t>The consequence affects everyone this week</t>
  </si>
  <si>
    <t>for the week. The loser is the 3rd nominee.</t>
  </si>
  <si>
    <t>The final nominees are</t>
  </si>
  <si>
    <t>The Pendant of Protection is now over</t>
  </si>
  <si>
    <t>Week 3, Part 2-</t>
  </si>
  <si>
    <t>Round 1-</t>
  </si>
  <si>
    <t>The first to complete round 1 is…</t>
  </si>
  <si>
    <t>The second to complete round 1 is…</t>
  </si>
  <si>
    <t>Round 2-</t>
  </si>
  <si>
    <t>The first to complete round 2 is…</t>
  </si>
  <si>
    <t>Round 3-</t>
  </si>
  <si>
    <t>Week 4-</t>
  </si>
  <si>
    <t>Week 4</t>
  </si>
  <si>
    <t>There will be a Temptation Competition the next 3 weeks, starting week 5</t>
  </si>
  <si>
    <t>Week 5-</t>
  </si>
  <si>
    <t>Week 5</t>
  </si>
  <si>
    <t>Won Comp</t>
  </si>
  <si>
    <t>Temptation Competition-</t>
  </si>
  <si>
    <t>For the next 3 weeks, houseguests will be given the chance</t>
  </si>
  <si>
    <t>to compete in the Temptation Competitions. It is completely</t>
  </si>
  <si>
    <t>optional, and everyone but the HOH may compete</t>
  </si>
  <si>
    <t>The winner wins immunity for the week</t>
  </si>
  <si>
    <t>The loser becomes the 3rd nominee for the week</t>
  </si>
  <si>
    <t>Week 6-</t>
  </si>
  <si>
    <t>Week 6</t>
  </si>
  <si>
    <t>There is no Have Not Temptation this week</t>
  </si>
  <si>
    <t>Week 7</t>
  </si>
  <si>
    <t>Week 7-</t>
  </si>
  <si>
    <t>Week 8</t>
  </si>
  <si>
    <t>Day 52</t>
  </si>
  <si>
    <t>Day 58</t>
  </si>
  <si>
    <t>This week is a double!</t>
  </si>
  <si>
    <t>Week 7 (Double Eviction)-</t>
  </si>
  <si>
    <t>Week 9</t>
  </si>
  <si>
    <t>Day 65</t>
  </si>
  <si>
    <t>Week 10</t>
  </si>
  <si>
    <t>Week 8-</t>
  </si>
  <si>
    <t>Tree of Temptation-</t>
  </si>
  <si>
    <t>There is a new twist in the game, called tree of temptation</t>
  </si>
  <si>
    <t>On it are 5 apples, all which have different powers inside them</t>
  </si>
  <si>
    <t>When the tree lights up, the first one there may pick an apple</t>
  </si>
  <si>
    <t>The contestants do not know which apple contains what</t>
  </si>
  <si>
    <t>This twist will last 3 weeks. The apples are-</t>
  </si>
  <si>
    <t>Save A Friend</t>
  </si>
  <si>
    <t>Can't Play In Next HOH</t>
  </si>
  <si>
    <t>Eliminate 2 Eviction Votes</t>
  </si>
  <si>
    <t>Bounty On Your Head ($5000 to HOH that gets you out)</t>
  </si>
  <si>
    <t>Second Veto</t>
  </si>
  <si>
    <t>Once a contestant has picked an apple, they may not pick another apple</t>
  </si>
  <si>
    <t>The Tree of Temptation goes off</t>
  </si>
  <si>
    <t>Chance of Tree Twist</t>
  </si>
  <si>
    <t>The chance that someone will claim an apple from the Tree of Temptation each week</t>
  </si>
  <si>
    <t>Random Chance Each Week</t>
  </si>
  <si>
    <t>Set Amount (Enter Amount)</t>
  </si>
  <si>
    <t>Competing in this is optional and the winner gets immunity</t>
  </si>
  <si>
    <t>Week 9-</t>
  </si>
  <si>
    <t>Can HOH draw an apple?</t>
  </si>
  <si>
    <t>Yes</t>
  </si>
  <si>
    <t>No</t>
  </si>
  <si>
    <t>This option will be set regardless</t>
  </si>
  <si>
    <t>of if Popularity Logic is on or off</t>
  </si>
  <si>
    <t>The following twists are able to be picked</t>
  </si>
  <si>
    <t>The Tree goes off</t>
  </si>
  <si>
    <t>Random, but same value</t>
  </si>
  <si>
    <t>Once a twist is picked, it may not be picked again</t>
  </si>
  <si>
    <t>POV Selections-</t>
  </si>
  <si>
    <t>Week 10-</t>
  </si>
  <si>
    <t>Day 72</t>
  </si>
  <si>
    <t>Have Nots are no more</t>
  </si>
  <si>
    <t>Week 10 (Double Eviction)-</t>
  </si>
  <si>
    <t>The Tree of Temptation twist is now over</t>
  </si>
  <si>
    <t>Although the effects from Can't Play Next HOH or Bounty will remain</t>
  </si>
  <si>
    <t>Day 79</t>
  </si>
  <si>
    <t>All 6 are competing in POV</t>
  </si>
  <si>
    <t>Week 11, Part 1-</t>
  </si>
  <si>
    <t>Week 11, Part 2-</t>
  </si>
  <si>
    <t>The final nominees are…</t>
  </si>
  <si>
    <t>By a vote of 1-0</t>
  </si>
  <si>
    <t>Final HOH-</t>
  </si>
  <si>
    <t>Final HOH, Part 1-</t>
  </si>
  <si>
    <t>Final HOH, Part 2-</t>
  </si>
  <si>
    <t>Final HOH, Part 3-</t>
  </si>
  <si>
    <t>Finale-</t>
  </si>
  <si>
    <t>The finalists</t>
  </si>
  <si>
    <t>The jury</t>
  </si>
  <si>
    <t>The jury will now vote a winner</t>
  </si>
  <si>
    <t>1-0</t>
  </si>
  <si>
    <t>Results-</t>
  </si>
  <si>
    <t>Day 84</t>
  </si>
  <si>
    <t>Day 86</t>
  </si>
  <si>
    <t>Day 92</t>
  </si>
  <si>
    <t>Day 73</t>
  </si>
  <si>
    <t>Week 11</t>
  </si>
  <si>
    <t>Week 12</t>
  </si>
  <si>
    <t>Day 80</t>
  </si>
  <si>
    <t>Day 85</t>
  </si>
  <si>
    <t>Finale</t>
  </si>
  <si>
    <t>1 of 1</t>
  </si>
  <si>
    <t>Winner</t>
  </si>
  <si>
    <t>Runner-Up</t>
  </si>
  <si>
    <t>America's Favourite Houseguest is…</t>
  </si>
  <si>
    <t>Paul</t>
  </si>
  <si>
    <t>Josh</t>
  </si>
  <si>
    <t>Christmas</t>
  </si>
  <si>
    <t>Kevin</t>
  </si>
  <si>
    <t>Alex</t>
  </si>
  <si>
    <t>Raven</t>
  </si>
  <si>
    <t>Jason</t>
  </si>
  <si>
    <t>Matt</t>
  </si>
  <si>
    <t>Mark</t>
  </si>
  <si>
    <t>Elena</t>
  </si>
  <si>
    <t>Cody</t>
  </si>
  <si>
    <t>Jessica</t>
  </si>
  <si>
    <t>Ramses</t>
  </si>
  <si>
    <t>Dominique</t>
  </si>
  <si>
    <t>Megan</t>
  </si>
  <si>
    <t>Jillian</t>
  </si>
  <si>
    <t>Cameron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</si>
</sst>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5"/>
      <color theme="1"/>
      <name val="Calibri"/>
      <family val="2"/>
      <scheme val="minor"/>
    </font>
    <font>
      <sz val="6"/>
      <color theme="1"/>
      <name val="Calibri"/>
      <family val="2"/>
      <scheme val="minor"/>
    </font>
    <font>
      <sz val="4.5"/>
      <color theme="1"/>
      <name val="Calibri"/>
      <family val="2"/>
      <scheme val="minor"/>
    </font>
    <font>
      <sz val="9"/>
      <color theme="1"/>
      <name val="Calibri"/>
      <family val="2"/>
      <scheme val="minor"/>
    </font>
    <font>
      <u/>
      <sz val="11"/>
      <color theme="10"/>
      <name val="Calibri"/>
      <family val="2"/>
      <scheme val="minor"/>
    </font>
    <font>
      <strike/>
      <sz val="11"/>
      <color theme="1"/>
      <name val="Calibri"/>
      <family val="2"/>
      <scheme val="minor"/>
    </font>
    <font>
      <i/>
      <sz val="11"/>
      <color theme="1"/>
      <name val="Calibri"/>
      <family val="2"/>
      <scheme val="minor"/>
    </font>
    <font>
      <sz val="8"/>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A8072"/>
        <bgColor indexed="64"/>
      </patternFill>
    </fill>
    <fill>
      <patternFill patternType="solid">
        <fgColor rgb="FFFFCC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bgColor indexed="64"/>
      </patternFill>
    </fill>
    <fill>
      <patternFill patternType="solid">
        <fgColor rgb="FFFFC0CB"/>
        <bgColor indexed="64"/>
      </patternFill>
    </fill>
    <fill>
      <patternFill patternType="solid">
        <fgColor rgb="FFEE82EE"/>
        <bgColor indexed="64"/>
      </patternFill>
    </fill>
    <fill>
      <patternFill patternType="solid">
        <fgColor rgb="FF73FB76"/>
        <bgColor indexed="64"/>
      </patternFill>
    </fill>
    <fill>
      <patternFill patternType="solid">
        <fgColor rgb="FFD1E8E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121">
    <xf numFmtId="0" fontId="0" fillId="0" borderId="0" xfId="0"/>
    <xf numFmtId="0" fontId="1" fillId="0" borderId="0" xfId="0" applyFont="1"/>
    <xf numFmtId="0" fontId="2" fillId="0" borderId="0" xfId="0" applyFont="1"/>
    <xf numFmtId="0" fontId="0" fillId="0" borderId="0" xfId="0" applyAlignment="1"/>
    <xf numFmtId="0" fontId="0" fillId="0" borderId="0" xfId="0" applyFont="1"/>
    <xf numFmtId="0" fontId="0" fillId="0" borderId="0" xfId="0" applyAlignment="1">
      <alignment horizontal="center" vertical="center"/>
    </xf>
    <xf numFmtId="0" fontId="3" fillId="0" borderId="0" xfId="0" applyFont="1" applyAlignment="1">
      <alignment horizontal="center" vertical="center"/>
    </xf>
    <xf numFmtId="0" fontId="7" fillId="0" borderId="0" xfId="1"/>
    <xf numFmtId="0" fontId="7" fillId="0" borderId="0" xfId="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xf>
    <xf numFmtId="0" fontId="7" fillId="0" borderId="0" xfId="1" applyBorder="1"/>
    <xf numFmtId="0" fontId="0" fillId="0" borderId="1" xfId="0" applyBorder="1"/>
    <xf numFmtId="0" fontId="0" fillId="0" borderId="0" xfId="0" applyBorder="1" applyAlignment="1"/>
    <xf numFmtId="0" fontId="1" fillId="0" borderId="0" xfId="0" applyFont="1" applyAlignment="1">
      <alignment horizontal="center" vertical="center"/>
    </xf>
    <xf numFmtId="0" fontId="1" fillId="0" borderId="0" xfId="0" applyNumberFormat="1" applyFont="1" applyAlignment="1">
      <alignment readingOrder="1"/>
    </xf>
    <xf numFmtId="0" fontId="1" fillId="2" borderId="2" xfId="0" applyFont="1" applyFill="1" applyBorder="1" applyAlignment="1">
      <alignment horizontal="center" vertical="center"/>
    </xf>
    <xf numFmtId="0" fontId="1" fillId="2" borderId="3" xfId="0" applyFont="1" applyFill="1" applyBorder="1"/>
    <xf numFmtId="0" fontId="1" fillId="2" borderId="4" xfId="0" applyFont="1" applyFill="1" applyBorder="1"/>
    <xf numFmtId="0" fontId="1" fillId="3" borderId="2" xfId="0" applyFont="1" applyFill="1" applyBorder="1" applyAlignment="1">
      <alignment horizontal="center" vertical="center"/>
    </xf>
    <xf numFmtId="0" fontId="1" fillId="3" borderId="3" xfId="0" applyFont="1" applyFill="1" applyBorder="1"/>
    <xf numFmtId="0" fontId="1" fillId="3" borderId="4" xfId="0" applyFont="1" applyFill="1" applyBorder="1"/>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0" xfId="0" applyFont="1" applyAlignment="1"/>
    <xf numFmtId="0" fontId="0" fillId="0" borderId="0" xfId="0" applyAlignment="1">
      <alignment horizontal="center"/>
    </xf>
    <xf numFmtId="0" fontId="1" fillId="4"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4"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4" borderId="4" xfId="0" applyFont="1" applyFill="1" applyBorder="1" applyAlignment="1">
      <alignment horizontal="center" vertical="center"/>
    </xf>
    <xf numFmtId="0" fontId="0" fillId="5" borderId="1" xfId="0" applyFill="1" applyBorder="1" applyAlignment="1">
      <alignment horizontal="center" vertical="center"/>
    </xf>
    <xf numFmtId="0" fontId="0" fillId="6" borderId="2"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4" xfId="0" applyFill="1" applyBorder="1" applyAlignment="1">
      <alignment horizontal="center" vertical="center"/>
    </xf>
    <xf numFmtId="0" fontId="2" fillId="0" borderId="0" xfId="0" applyFont="1" applyAlignment="1">
      <alignment horizontal="center" vertical="center"/>
    </xf>
    <xf numFmtId="0" fontId="0" fillId="7" borderId="0" xfId="0" applyFill="1" applyAlignment="1">
      <alignment horizontal="center" vertical="center"/>
    </xf>
    <xf numFmtId="0" fontId="0" fillId="6" borderId="3" xfId="0" applyFill="1" applyBorder="1" applyAlignment="1">
      <alignment horizontal="center" vertical="center"/>
    </xf>
    <xf numFmtId="0" fontId="0" fillId="8" borderId="1" xfId="0" applyFill="1" applyBorder="1" applyAlignment="1">
      <alignment horizontal="center" vertical="center"/>
    </xf>
    <xf numFmtId="0" fontId="8" fillId="6" borderId="4" xfId="0" applyFont="1" applyFill="1" applyBorder="1" applyAlignment="1">
      <alignment horizontal="center" vertical="center" wrapText="1"/>
    </xf>
    <xf numFmtId="0" fontId="0" fillId="0" borderId="0" xfId="0" applyFill="1" applyBorder="1" applyAlignment="1"/>
    <xf numFmtId="0" fontId="0" fillId="2" borderId="1" xfId="0" applyFill="1" applyBorder="1" applyAlignment="1">
      <alignment horizontal="center" vertical="center"/>
    </xf>
    <xf numFmtId="0" fontId="2" fillId="6" borderId="4"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5" borderId="1" xfId="0" applyFill="1" applyBorder="1" applyAlignment="1">
      <alignment horizontal="center" vertical="center"/>
    </xf>
    <xf numFmtId="0" fontId="0" fillId="3" borderId="2" xfId="0" applyFont="1" applyFill="1" applyBorder="1" applyAlignment="1">
      <alignment horizontal="center" vertical="center"/>
    </xf>
    <xf numFmtId="0" fontId="0" fillId="3" borderId="4" xfId="0" applyFont="1" applyFill="1" applyBorder="1" applyAlignment="1">
      <alignment horizontal="center" vertical="center"/>
    </xf>
    <xf numFmtId="0" fontId="0" fillId="9" borderId="2" xfId="0" applyFont="1" applyFill="1" applyBorder="1" applyAlignment="1">
      <alignment horizontal="center" vertical="center"/>
    </xf>
    <xf numFmtId="0" fontId="0" fillId="9" borderId="4" xfId="0" applyFont="1" applyFill="1" applyBorder="1" applyAlignment="1">
      <alignment horizontal="center" vertical="center"/>
    </xf>
    <xf numFmtId="0" fontId="0" fillId="5" borderId="1" xfId="0" applyFill="1" applyBorder="1" applyAlignment="1">
      <alignment horizontal="center" vertical="center"/>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center" vertical="center"/>
    </xf>
    <xf numFmtId="0" fontId="0" fillId="3" borderId="9" xfId="0" applyFill="1" applyBorder="1" applyAlignment="1">
      <alignment horizontal="center" vertical="center"/>
    </xf>
    <xf numFmtId="0" fontId="0" fillId="3" borderId="9" xfId="0" applyFont="1" applyFill="1" applyBorder="1" applyAlignment="1">
      <alignment horizontal="center" vertical="center"/>
    </xf>
    <xf numFmtId="0" fontId="0" fillId="4" borderId="9" xfId="0" applyFont="1" applyFill="1" applyBorder="1" applyAlignment="1">
      <alignment horizontal="center" vertical="center"/>
    </xf>
    <xf numFmtId="0" fontId="0" fillId="3" borderId="8" xfId="0" applyFill="1" applyBorder="1" applyAlignment="1">
      <alignment horizontal="center" vertical="center"/>
    </xf>
    <xf numFmtId="0" fontId="0" fillId="3" borderId="8" xfId="0" applyFont="1" applyFill="1" applyBorder="1" applyAlignment="1">
      <alignment horizontal="center" vertical="center"/>
    </xf>
    <xf numFmtId="0" fontId="9" fillId="3" borderId="8" xfId="0" applyFont="1" applyFill="1" applyBorder="1" applyAlignment="1">
      <alignment horizontal="center" vertical="center"/>
    </xf>
    <xf numFmtId="0" fontId="0" fillId="7" borderId="0" xfId="0" applyFont="1" applyFill="1" applyAlignment="1">
      <alignment horizontal="center" vertical="center"/>
    </xf>
    <xf numFmtId="0" fontId="0" fillId="5" borderId="1" xfId="0" applyFill="1" applyBorder="1" applyAlignment="1">
      <alignment horizontal="center" vertical="center"/>
    </xf>
    <xf numFmtId="0" fontId="0" fillId="10" borderId="2" xfId="0" applyFill="1" applyBorder="1" applyAlignment="1">
      <alignment horizontal="center"/>
    </xf>
    <xf numFmtId="0" fontId="0" fillId="11" borderId="2" xfId="0" applyFill="1" applyBorder="1" applyAlignment="1">
      <alignment horizontal="center"/>
    </xf>
    <xf numFmtId="0" fontId="0" fillId="10" borderId="3" xfId="0" applyFill="1" applyBorder="1" applyAlignment="1">
      <alignment horizontal="center" vertical="center"/>
    </xf>
    <xf numFmtId="0" fontId="0" fillId="11" borderId="3" xfId="0" applyFill="1" applyBorder="1" applyAlignment="1">
      <alignment horizontal="center" vertical="center"/>
    </xf>
    <xf numFmtId="0" fontId="0" fillId="10" borderId="4" xfId="0" applyFill="1" applyBorder="1" applyAlignment="1">
      <alignment horizontal="center" vertical="center"/>
    </xf>
    <xf numFmtId="0" fontId="0" fillId="11" borderId="4" xfId="0" applyFill="1" applyBorder="1" applyAlignment="1">
      <alignment horizontal="center" vertical="center"/>
    </xf>
    <xf numFmtId="0" fontId="0" fillId="11" borderId="2" xfId="0" applyFont="1" applyFill="1" applyBorder="1" applyAlignment="1">
      <alignment horizontal="center" vertical="center"/>
    </xf>
    <xf numFmtId="0" fontId="0" fillId="11" borderId="4" xfId="0" applyFont="1" applyFill="1" applyBorder="1" applyAlignment="1">
      <alignment horizontal="center" vertical="center"/>
    </xf>
    <xf numFmtId="0" fontId="0" fillId="10" borderId="2" xfId="0" applyFill="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0" fillId="3" borderId="5" xfId="0" applyFill="1" applyBorder="1" applyAlignment="1">
      <alignment horizontal="center" vertical="center"/>
    </xf>
    <xf numFmtId="0" fontId="0" fillId="3" borderId="5" xfId="0" applyFont="1" applyFill="1" applyBorder="1" applyAlignment="1">
      <alignment horizontal="center" vertical="center"/>
    </xf>
    <xf numFmtId="0" fontId="0" fillId="4" borderId="5" xfId="0" applyFont="1" applyFill="1" applyBorder="1" applyAlignment="1">
      <alignment horizontal="center" vertical="center"/>
    </xf>
    <xf numFmtId="0" fontId="2" fillId="0" borderId="0" xfId="0" applyFont="1" applyAlignment="1">
      <alignment horizontal="center"/>
    </xf>
    <xf numFmtId="0" fontId="2" fillId="0" borderId="0" xfId="0" applyFont="1" applyAlignment="1">
      <alignment horizontal="center" vertical="center" wrapText="1"/>
    </xf>
    <xf numFmtId="0" fontId="10"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0" fillId="5" borderId="8" xfId="0" applyFill="1" applyBorder="1" applyAlignment="1">
      <alignment horizontal="center" vertical="center"/>
    </xf>
    <xf numFmtId="0" fontId="0" fillId="5" borderId="5" xfId="0" applyFill="1" applyBorder="1" applyAlignment="1">
      <alignment horizontal="center" vertical="center"/>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6" borderId="13" xfId="0" applyFill="1" applyBorder="1" applyAlignment="1">
      <alignment horizontal="center" vertical="center"/>
    </xf>
    <xf numFmtId="0" fontId="0" fillId="6" borderId="0" xfId="0" applyFill="1" applyBorder="1" applyAlignment="1">
      <alignment horizontal="center" vertical="center"/>
    </xf>
    <xf numFmtId="0" fontId="0" fillId="6" borderId="6" xfId="0"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7" xfId="0" applyFill="1" applyBorder="1" applyAlignment="1">
      <alignment horizontal="center" vertical="center"/>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2" xfId="0" applyFill="1" applyBorder="1" applyAlignment="1">
      <alignment horizontal="center" vertical="center"/>
    </xf>
    <xf numFmtId="0" fontId="0" fillId="6" borderId="4" xfId="0" applyFill="1" applyBorder="1" applyAlignment="1">
      <alignment horizontal="center" vertical="center"/>
    </xf>
    <xf numFmtId="0" fontId="0" fillId="6" borderId="3" xfId="0"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5" xfId="0" applyFill="1" applyBorder="1" applyAlignment="1">
      <alignment horizontal="center" vertical="center" wrapText="1"/>
    </xf>
    <xf numFmtId="0" fontId="0" fillId="5" borderId="1" xfId="0" applyFill="1" applyBorder="1" applyAlignment="1">
      <alignment horizontal="center" vertical="center"/>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6" borderId="5" xfId="0" applyFill="1" applyBorder="1" applyAlignment="1">
      <alignment horizontal="center" vertical="center"/>
    </xf>
  </cellXfs>
  <cellStyles count="2">
    <cellStyle name="Hyperlink" xfId="1" builtinId="8"/>
    <cellStyle name="Normal" xfId="0" builtinId="0"/>
  </cellStyles>
  <dxfs count="76">
    <dxf>
      <fill>
        <patternFill>
          <bgColor rgb="FFFBF373"/>
        </patternFill>
      </fill>
    </dxf>
    <dxf>
      <font>
        <b val="0"/>
        <i/>
      </font>
      <fill>
        <patternFill>
          <bgColor rgb="FF959FFD"/>
        </patternFill>
      </fill>
    </dxf>
    <dxf>
      <fill>
        <patternFill>
          <bgColor rgb="FFCCFFCC"/>
        </patternFill>
      </fill>
    </dxf>
    <dxf>
      <font>
        <b val="0"/>
        <i/>
      </font>
      <fill>
        <patternFill>
          <bgColor rgb="FFCCFFCC"/>
        </patternFill>
      </fill>
    </dxf>
    <dxf>
      <fill>
        <patternFill>
          <bgColor rgb="FFFBF373"/>
        </patternFill>
      </fill>
    </dxf>
    <dxf>
      <fill>
        <patternFill>
          <bgColor rgb="FFFBF373"/>
        </patternFill>
      </fill>
    </dxf>
    <dxf>
      <font>
        <b val="0"/>
        <i/>
      </font>
      <fill>
        <patternFill>
          <bgColor rgb="FFCCCCCC"/>
        </patternFill>
      </fill>
    </dxf>
    <dxf>
      <fill>
        <patternFill>
          <bgColor rgb="FFFBF373"/>
        </patternFill>
      </fill>
    </dxf>
    <dxf>
      <font>
        <b val="0"/>
        <i/>
      </font>
      <fill>
        <patternFill>
          <bgColor rgb="FFCCCCCC"/>
        </patternFill>
      </fill>
    </dxf>
    <dxf>
      <fill>
        <patternFill>
          <bgColor rgb="FFFBF373"/>
        </patternFill>
      </fill>
    </dxf>
    <dxf>
      <font>
        <b val="0"/>
        <i/>
      </font>
    </dxf>
    <dxf>
      <fill>
        <patternFill>
          <bgColor rgb="FFFBF373"/>
        </patternFill>
      </fill>
    </dxf>
    <dxf>
      <border>
        <right/>
        <vertical/>
        <horizontal/>
      </border>
    </dxf>
    <dxf>
      <border>
        <right/>
        <vertical/>
        <horizontal/>
      </border>
    </dxf>
    <dxf>
      <border>
        <left/>
        <right/>
        <vertical/>
        <horizontal/>
      </border>
    </dxf>
    <dxf>
      <font>
        <b val="0"/>
        <i/>
      </font>
      <fill>
        <patternFill>
          <bgColor rgb="FFCCCCCC"/>
        </patternFill>
      </fill>
    </dxf>
    <dxf>
      <font>
        <b val="0"/>
        <i/>
      </font>
      <fill>
        <patternFill>
          <bgColor rgb="FFCCCCCC"/>
        </patternFill>
      </fill>
    </dxf>
    <dxf>
      <fill>
        <patternFill>
          <bgColor rgb="FFFBF373"/>
        </patternFill>
      </fill>
    </dxf>
    <dxf>
      <fill>
        <patternFill>
          <bgColor rgb="FF90EE90"/>
        </patternFill>
      </fill>
    </dxf>
    <dxf>
      <fill>
        <patternFill>
          <bgColor rgb="FFFBF373"/>
        </patternFill>
      </fill>
    </dxf>
    <dxf>
      <fill>
        <patternFill>
          <bgColor rgb="FFFA8072"/>
        </patternFill>
      </fill>
    </dxf>
    <dxf>
      <font>
        <b val="0"/>
        <i/>
      </font>
      <fill>
        <patternFill>
          <bgColor rgb="FFCCCCCC"/>
        </patternFill>
      </fill>
    </dxf>
    <dxf>
      <font>
        <b val="0"/>
        <i/>
      </font>
      <fill>
        <patternFill>
          <bgColor rgb="FFCCCCCC"/>
        </patternFill>
      </fill>
    </dxf>
    <dxf>
      <fill>
        <patternFill>
          <bgColor rgb="FF90EE90"/>
        </patternFill>
      </fill>
    </dxf>
    <dxf>
      <fill>
        <patternFill>
          <bgColor rgb="FFFA8072"/>
        </patternFill>
      </fill>
    </dxf>
    <dxf>
      <fill>
        <patternFill>
          <bgColor rgb="FFFFCCFF"/>
        </patternFill>
      </fill>
    </dxf>
    <dxf>
      <font>
        <b val="0"/>
        <i/>
      </font>
      <fill>
        <patternFill>
          <bgColor rgb="FFFA8072"/>
        </patternFill>
      </fill>
    </dxf>
    <dxf>
      <fill>
        <patternFill>
          <bgColor rgb="FF90EE90"/>
        </patternFill>
      </fill>
    </dxf>
    <dxf>
      <fill>
        <patternFill>
          <bgColor rgb="FF90EE90"/>
        </patternFill>
      </fill>
    </dxf>
    <dxf>
      <font>
        <strike/>
      </font>
    </dxf>
    <dxf>
      <fill>
        <patternFill>
          <bgColor rgb="FF90EE90"/>
        </patternFill>
      </fill>
    </dxf>
    <dxf>
      <fill>
        <patternFill>
          <bgColor rgb="FF90EE90"/>
        </patternFill>
      </fill>
    </dxf>
    <dxf>
      <fill>
        <patternFill>
          <bgColor rgb="FFFBF373"/>
        </patternFill>
      </fill>
    </dxf>
    <dxf>
      <fill>
        <patternFill>
          <bgColor rgb="FFFBF373"/>
        </patternFill>
      </fill>
    </dxf>
    <dxf>
      <fill>
        <patternFill>
          <bgColor rgb="FFFBF373"/>
        </patternFill>
      </fill>
    </dxf>
    <dxf>
      <fill>
        <patternFill>
          <bgColor rgb="FFFBF373"/>
        </patternFill>
      </fill>
    </dxf>
    <dxf>
      <fill>
        <patternFill>
          <bgColor rgb="FFFFCCFF"/>
        </patternFill>
      </fill>
    </dxf>
    <dxf>
      <fill>
        <patternFill>
          <bgColor rgb="FFFA8072"/>
        </patternFill>
      </fill>
    </dxf>
    <dxf>
      <fill>
        <patternFill>
          <bgColor rgb="FFFFCCFF"/>
        </patternFill>
      </fill>
    </dxf>
    <dxf>
      <fill>
        <patternFill>
          <bgColor rgb="FFFA8072"/>
        </patternFill>
      </fill>
    </dxf>
    <dxf>
      <fill>
        <patternFill>
          <bgColor rgb="FFFFCCFF"/>
        </patternFill>
      </fill>
    </dxf>
    <dxf>
      <fill>
        <patternFill>
          <bgColor rgb="FFFA8072"/>
        </patternFill>
      </fill>
    </dxf>
    <dxf>
      <fill>
        <patternFill>
          <bgColor rgb="FFFFCCFF"/>
        </patternFill>
      </fill>
    </dxf>
    <dxf>
      <fill>
        <patternFill>
          <bgColor rgb="FFFA8072"/>
        </patternFill>
      </fill>
    </dxf>
    <dxf>
      <fill>
        <patternFill>
          <bgColor rgb="FFFFCCFF"/>
        </patternFill>
      </fill>
    </dxf>
    <dxf>
      <fill>
        <patternFill>
          <bgColor rgb="FFFA8072"/>
        </patternFill>
      </fill>
    </dxf>
    <dxf>
      <fill>
        <patternFill>
          <bgColor rgb="FFFFCCFF"/>
        </patternFill>
      </fill>
    </dxf>
    <dxf>
      <fill>
        <patternFill>
          <bgColor rgb="FFFA8072"/>
        </patternFill>
      </fill>
    </dxf>
    <dxf>
      <fill>
        <patternFill>
          <bgColor rgb="FFFFCCFF"/>
        </patternFill>
      </fill>
    </dxf>
    <dxf>
      <fill>
        <patternFill>
          <bgColor rgb="FFFA8072"/>
        </patternFill>
      </fill>
    </dxf>
    <dxf>
      <fill>
        <patternFill>
          <bgColor rgb="FFFFCCFF"/>
        </patternFill>
      </fill>
    </dxf>
    <dxf>
      <fill>
        <patternFill>
          <bgColor rgb="FFFA8072"/>
        </patternFill>
      </fill>
    </dxf>
    <dxf>
      <fill>
        <patternFill>
          <bgColor rgb="FFFA8072"/>
        </patternFill>
      </fill>
    </dxf>
    <dxf>
      <fill>
        <patternFill>
          <bgColor rgb="FFFFCCFF"/>
        </patternFill>
      </fill>
    </dxf>
    <dxf>
      <fill>
        <patternFill>
          <bgColor rgb="FFFA8072"/>
        </patternFill>
      </fill>
    </dxf>
    <dxf>
      <fill>
        <patternFill>
          <bgColor rgb="FFFA8072"/>
        </patternFill>
      </fill>
    </dxf>
    <dxf>
      <fill>
        <patternFill>
          <bgColor rgb="FFFFCCFF"/>
        </patternFill>
      </fill>
    </dxf>
    <dxf>
      <fill>
        <patternFill>
          <bgColor rgb="FFFA8072"/>
        </patternFill>
      </fill>
    </dxf>
    <dxf>
      <fill>
        <patternFill>
          <bgColor rgb="FFFA8072"/>
        </patternFill>
      </fill>
    </dxf>
    <dxf>
      <fill>
        <patternFill>
          <bgColor rgb="FFFFCCFF"/>
        </patternFill>
      </fill>
    </dxf>
    <dxf>
      <fill>
        <patternFill>
          <bgColor rgb="FFFA8072"/>
        </patternFill>
      </fill>
    </dxf>
    <dxf>
      <fill>
        <patternFill>
          <bgColor rgb="FFFA8072"/>
        </patternFill>
      </fill>
    </dxf>
    <dxf>
      <fill>
        <patternFill>
          <bgColor rgb="FFFFCCFF"/>
        </patternFill>
      </fill>
    </dxf>
    <dxf>
      <fill>
        <patternFill>
          <bgColor rgb="FFFA8072"/>
        </patternFill>
      </fill>
    </dxf>
    <dxf>
      <fill>
        <patternFill>
          <bgColor rgb="FFFA8072"/>
        </patternFill>
      </fill>
    </dxf>
    <dxf>
      <fill>
        <patternFill>
          <bgColor rgb="FFFFCCFF"/>
        </patternFill>
      </fill>
    </dxf>
    <dxf>
      <fill>
        <patternFill>
          <bgColor rgb="FFFBF373"/>
        </patternFill>
      </fill>
    </dxf>
    <dxf>
      <fill>
        <patternFill>
          <bgColor rgb="FFFBF373"/>
        </patternFill>
      </fill>
    </dxf>
    <dxf>
      <fill>
        <patternFill>
          <bgColor rgb="FFFBF373"/>
        </patternFill>
      </fill>
    </dxf>
    <dxf>
      <fill>
        <patternFill>
          <bgColor rgb="FFFA8072"/>
        </patternFill>
      </fill>
    </dxf>
    <dxf>
      <fill>
        <patternFill>
          <bgColor rgb="FFFFCCFF"/>
        </patternFill>
      </fill>
    </dxf>
    <dxf>
      <fill>
        <patternFill>
          <bgColor rgb="FFFA8072"/>
        </patternFill>
      </fill>
    </dxf>
    <dxf>
      <fill>
        <patternFill>
          <bgColor rgb="FFFA8072"/>
        </patternFill>
      </fill>
    </dxf>
    <dxf>
      <fill>
        <patternFill>
          <bgColor rgb="FFFBF373"/>
        </patternFill>
      </fill>
    </dxf>
    <dxf>
      <fill>
        <patternFill>
          <bgColor rgb="FFFBF373"/>
        </patternFill>
      </fill>
    </dxf>
    <dxf>
      <fill>
        <patternFill>
          <bgColor rgb="FFFBF373"/>
        </patternFill>
      </fill>
    </dxf>
  </dxfs>
  <tableStyles count="0" defaultTableStyle="TableStyleMedium2" defaultPivotStyle="PivotStyleLight16"/>
  <colors>
    <mruColors>
      <color rgb="FFD1E8EF"/>
      <color rgb="FFFBF373"/>
      <color rgb="FF73FB76"/>
      <color rgb="FFFA8072"/>
      <color rgb="FFCCCCCC"/>
      <color rgb="FFCCFFCC"/>
      <color rgb="FF959FFD"/>
      <color rgb="FFFFCCFF"/>
      <color rgb="FFEE82EE"/>
      <color rgb="FFFFC0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37473-0855-4E27-BBEB-89481EE2F10A}">
  <dimension ref="A1:D27"/>
  <sheetViews>
    <sheetView tabSelected="1" topLeftCell="B1" zoomScale="160" zoomScaleNormal="160" workbookViewId="0">
      <selection activeCell="C8" sqref="C8"/>
    </sheetView>
  </sheetViews>
  <sheetFormatPr defaultColWidth="10.7109375" defaultRowHeight="15" x14ac:dyDescent="0.25"/>
  <cols>
    <col min="1" max="1" width="0" hidden="1" customWidth="1"/>
  </cols>
  <sheetData>
    <row r="1" spans="2:2" x14ac:dyDescent="0.25">
      <c r="B1" s="1" t="s">
        <v>0</v>
      </c>
    </row>
    <row r="2" spans="2:2" x14ac:dyDescent="0.25">
      <c r="B2" s="1" t="s">
        <v>255</v>
      </c>
    </row>
    <row r="3" spans="2:2" x14ac:dyDescent="0.25">
      <c r="B3" s="1" t="s">
        <v>267</v>
      </c>
    </row>
    <row r="4" spans="2:2" x14ac:dyDescent="0.25">
      <c r="B4" s="1" t="s">
        <v>253</v>
      </c>
    </row>
    <row r="5" spans="2:2" x14ac:dyDescent="0.25">
      <c r="B5" s="1" t="s">
        <v>261</v>
      </c>
    </row>
    <row r="6" spans="2:2" x14ac:dyDescent="0.25">
      <c r="B6" s="1" t="s">
        <v>264</v>
      </c>
    </row>
    <row r="7" spans="2:2" x14ac:dyDescent="0.25">
      <c r="B7" s="1" t="s">
        <v>260</v>
      </c>
    </row>
    <row r="8" spans="2:2" x14ac:dyDescent="0.25">
      <c r="B8" s="1" t="s">
        <v>257</v>
      </c>
    </row>
    <row r="9" spans="2:2" x14ac:dyDescent="0.25">
      <c r="B9" s="1" t="s">
        <v>262</v>
      </c>
    </row>
    <row r="10" spans="2:2" x14ac:dyDescent="0.25">
      <c r="B10" s="1" t="s">
        <v>266</v>
      </c>
    </row>
    <row r="11" spans="2:2" x14ac:dyDescent="0.25">
      <c r="B11" s="1" t="s">
        <v>252</v>
      </c>
    </row>
    <row r="12" spans="2:2" x14ac:dyDescent="0.25">
      <c r="B12" s="1" t="s">
        <v>254</v>
      </c>
    </row>
    <row r="13" spans="2:2" x14ac:dyDescent="0.25">
      <c r="B13" s="1" t="s">
        <v>259</v>
      </c>
    </row>
    <row r="14" spans="2:2" x14ac:dyDescent="0.25">
      <c r="B14" s="1" t="s">
        <v>258</v>
      </c>
    </row>
    <row r="15" spans="2:2" x14ac:dyDescent="0.25">
      <c r="B15" s="1" t="s">
        <v>265</v>
      </c>
    </row>
    <row r="16" spans="2:2" x14ac:dyDescent="0.25">
      <c r="B16" s="1" t="s">
        <v>263</v>
      </c>
    </row>
    <row r="17" spans="1:4" x14ac:dyDescent="0.25">
      <c r="B17" s="1" t="s">
        <v>256</v>
      </c>
    </row>
    <row r="19" spans="1:4" x14ac:dyDescent="0.25">
      <c r="B19" s="1" t="s">
        <v>1</v>
      </c>
    </row>
    <row r="20" spans="1:4" x14ac:dyDescent="0.25">
      <c r="B20" s="1" t="s">
        <v>251</v>
      </c>
    </row>
    <row r="22" spans="1:4" x14ac:dyDescent="0.25">
      <c r="B22" s="2" t="s">
        <v>2</v>
      </c>
    </row>
    <row r="23" spans="1:4" x14ac:dyDescent="0.25">
      <c r="A23" t="s">
        <v>5</v>
      </c>
      <c r="B23" t="s">
        <v>3</v>
      </c>
      <c r="D23" t="s">
        <v>5</v>
      </c>
    </row>
    <row r="24" spans="1:4" x14ac:dyDescent="0.25">
      <c r="A24" t="s">
        <v>6</v>
      </c>
      <c r="B24" s="7" t="str">
        <f>IF($I$23="Off","","Set Popularity Logic")</f>
        <v>Set Popularity Logic</v>
      </c>
    </row>
    <row r="26" spans="1:4" x14ac:dyDescent="0.25">
      <c r="B26" t="s">
        <v>4</v>
      </c>
      <c r="D26" t="s">
        <v>5</v>
      </c>
    </row>
    <row r="27" spans="1:4" x14ac:dyDescent="0.25">
      <c r="B27" s="7" t="str">
        <f>IF($I$26="Off","","Set Relationship Logic")</f>
        <v>Set Relationship Logic</v>
      </c>
    </row>
  </sheetData>
  <dataValidations count="1">
    <dataValidation type="list" allowBlank="1" showInputMessage="1" showErrorMessage="1" sqref="D23 D26" xr:uid="{6AB06606-3F28-4A3C-BFB6-65809D32F940}">
      <formula1>$A$23:$A$24</formula1>
    </dataValidation>
  </dataValidations>
  <hyperlinks>
    <hyperlink ref="B24" location="Popularity!A1" display="Popularity!A1" xr:uid="{9426A0FC-A043-4156-822B-91AF256DE937}"/>
    <hyperlink ref="B27" location="Relationships!A1" display="Relationships!A1" xr:uid="{8EC81C80-4412-4933-98F7-CD965FC743B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C1A9D-F30C-44D6-9EA7-FF314FD2FD4C}">
  <sheetPr codeName="Sheet1"/>
  <dimension ref="A1:L1891"/>
  <sheetViews>
    <sheetView topLeftCell="G1" zoomScale="160" zoomScaleNormal="160" workbookViewId="0">
      <selection activeCell="H4" sqref="H4"/>
    </sheetView>
  </sheetViews>
  <sheetFormatPr defaultColWidth="10.7109375" defaultRowHeight="15" x14ac:dyDescent="0.25"/>
  <cols>
    <col min="1" max="6" width="10.7109375" hidden="1" customWidth="1"/>
  </cols>
  <sheetData>
    <row r="1" spans="2:12" x14ac:dyDescent="0.25">
      <c r="B1" s="1" t="str">
        <f t="shared" ref="B1:B16" si="0">G2</f>
        <v>Alex</v>
      </c>
      <c r="C1" s="4">
        <f t="shared" ref="C1:C17" si="1">COUNTIF($B$1:$B$17,"&lt;="&amp;B1)</f>
        <v>1</v>
      </c>
      <c r="D1" s="1"/>
      <c r="E1" s="1"/>
      <c r="F1" s="1"/>
      <c r="G1" s="1" t="s">
        <v>0</v>
      </c>
      <c r="K1" s="1"/>
      <c r="L1" s="1"/>
    </row>
    <row r="2" spans="2:12" x14ac:dyDescent="0.25">
      <c r="B2" s="1" t="str">
        <f t="shared" si="0"/>
        <v>Cameron</v>
      </c>
      <c r="C2" s="4">
        <f t="shared" si="1"/>
        <v>2</v>
      </c>
      <c r="D2" s="1">
        <f ca="1">RAND()</f>
        <v>0.9759177942284103</v>
      </c>
      <c r="E2" s="1">
        <f ca="1">RAND()</f>
        <v>0.59710205397545657</v>
      </c>
      <c r="F2" s="1">
        <f t="shared" ref="F2:F17" si="2">COUNTIF($G$2:$G$17,"&lt;="&amp;G2)</f>
        <v>1</v>
      </c>
      <c r="G2" s="4" t="str">
        <f>Cast!B2</f>
        <v>Alex</v>
      </c>
      <c r="K2" s="1"/>
      <c r="L2" s="1"/>
    </row>
    <row r="3" spans="2:12" x14ac:dyDescent="0.25">
      <c r="B3" s="1" t="str">
        <f t="shared" si="0"/>
        <v>Christmas</v>
      </c>
      <c r="C3" s="4">
        <f t="shared" si="1"/>
        <v>3</v>
      </c>
      <c r="D3" s="1">
        <f t="shared" ref="D3:E17" ca="1" si="3">RAND()</f>
        <v>0.62255449003576491</v>
      </c>
      <c r="E3" s="1">
        <f t="shared" ca="1" si="3"/>
        <v>0.91315921043902692</v>
      </c>
      <c r="F3" s="1">
        <f t="shared" si="2"/>
        <v>2</v>
      </c>
      <c r="G3" s="4" t="str">
        <f>Cast!B3</f>
        <v>Cameron</v>
      </c>
      <c r="K3" s="1"/>
      <c r="L3" s="1"/>
    </row>
    <row r="4" spans="2:12" x14ac:dyDescent="0.25">
      <c r="B4" s="1" t="str">
        <f t="shared" si="0"/>
        <v>Cody</v>
      </c>
      <c r="C4" s="4">
        <f t="shared" si="1"/>
        <v>4</v>
      </c>
      <c r="D4" s="1">
        <f t="shared" ca="1" si="3"/>
        <v>0.6820516848765773</v>
      </c>
      <c r="E4" s="1">
        <f t="shared" ca="1" si="3"/>
        <v>0.13615994117129115</v>
      </c>
      <c r="F4" s="1">
        <f t="shared" si="2"/>
        <v>3</v>
      </c>
      <c r="G4" s="4" t="str">
        <f>Cast!B4</f>
        <v>Christmas</v>
      </c>
    </row>
    <row r="5" spans="2:12" x14ac:dyDescent="0.25">
      <c r="B5" s="1" t="str">
        <f t="shared" si="0"/>
        <v>Dominique</v>
      </c>
      <c r="C5" s="4">
        <f t="shared" si="1"/>
        <v>5</v>
      </c>
      <c r="D5" s="1">
        <f t="shared" ca="1" si="3"/>
        <v>0.28154504395704449</v>
      </c>
      <c r="E5" s="1">
        <f t="shared" ca="1" si="3"/>
        <v>8.6668631763418769E-2</v>
      </c>
      <c r="F5" s="1">
        <f t="shared" si="2"/>
        <v>4</v>
      </c>
      <c r="G5" s="4" t="str">
        <f>Cast!B5</f>
        <v>Cody</v>
      </c>
    </row>
    <row r="6" spans="2:12" x14ac:dyDescent="0.25">
      <c r="B6" s="1" t="str">
        <f t="shared" si="0"/>
        <v>Elena</v>
      </c>
      <c r="C6" s="4">
        <f t="shared" si="1"/>
        <v>6</v>
      </c>
      <c r="D6" s="1">
        <f t="shared" ca="1" si="3"/>
        <v>0.64468604896579118</v>
      </c>
      <c r="E6" s="1">
        <f t="shared" ca="1" si="3"/>
        <v>0.6738728186626517</v>
      </c>
      <c r="F6" s="1">
        <f t="shared" si="2"/>
        <v>5</v>
      </c>
      <c r="G6" s="4" t="str">
        <f>Cast!B6</f>
        <v>Dominique</v>
      </c>
    </row>
    <row r="7" spans="2:12" x14ac:dyDescent="0.25">
      <c r="B7" s="1" t="str">
        <f t="shared" si="0"/>
        <v>Jason</v>
      </c>
      <c r="C7" s="4">
        <f t="shared" si="1"/>
        <v>7</v>
      </c>
      <c r="D7" s="1">
        <f t="shared" ca="1" si="3"/>
        <v>0.86770146847766905</v>
      </c>
      <c r="E7" s="1">
        <f t="shared" ca="1" si="3"/>
        <v>0.31219138073285957</v>
      </c>
      <c r="F7" s="1">
        <f t="shared" si="2"/>
        <v>6</v>
      </c>
      <c r="G7" s="4" t="str">
        <f>Cast!B7</f>
        <v>Elena</v>
      </c>
    </row>
    <row r="8" spans="2:12" x14ac:dyDescent="0.25">
      <c r="B8" s="1" t="str">
        <f t="shared" si="0"/>
        <v>Jessica</v>
      </c>
      <c r="C8" s="4">
        <f t="shared" si="1"/>
        <v>8</v>
      </c>
      <c r="D8" s="1">
        <f t="shared" ca="1" si="3"/>
        <v>0.39350109074402773</v>
      </c>
      <c r="E8" s="1">
        <f t="shared" ca="1" si="3"/>
        <v>2.4802024863503358E-2</v>
      </c>
      <c r="F8" s="1">
        <f t="shared" si="2"/>
        <v>7</v>
      </c>
      <c r="G8" s="4" t="str">
        <f>Cast!B8</f>
        <v>Jason</v>
      </c>
    </row>
    <row r="9" spans="2:12" x14ac:dyDescent="0.25">
      <c r="B9" s="1" t="str">
        <f t="shared" si="0"/>
        <v>Jillian</v>
      </c>
      <c r="C9" s="4">
        <f t="shared" si="1"/>
        <v>9</v>
      </c>
      <c r="D9" s="1">
        <f t="shared" ca="1" si="3"/>
        <v>0.25444469332167252</v>
      </c>
      <c r="E9" s="1">
        <f t="shared" ca="1" si="3"/>
        <v>0.85881762264545514</v>
      </c>
      <c r="F9" s="1">
        <f t="shared" si="2"/>
        <v>8</v>
      </c>
      <c r="G9" s="4" t="str">
        <f>Cast!B9</f>
        <v>Jessica</v>
      </c>
    </row>
    <row r="10" spans="2:12" x14ac:dyDescent="0.25">
      <c r="B10" s="1" t="str">
        <f t="shared" si="0"/>
        <v>Josh</v>
      </c>
      <c r="C10" s="4">
        <f t="shared" si="1"/>
        <v>10</v>
      </c>
      <c r="D10" s="1">
        <f t="shared" ca="1" si="3"/>
        <v>0.35180522448868001</v>
      </c>
      <c r="E10" s="1">
        <f t="shared" ca="1" si="3"/>
        <v>0.83522891362184681</v>
      </c>
      <c r="F10" s="1">
        <f t="shared" si="2"/>
        <v>9</v>
      </c>
      <c r="G10" s="4" t="str">
        <f>Cast!B10</f>
        <v>Jillian</v>
      </c>
    </row>
    <row r="11" spans="2:12" x14ac:dyDescent="0.25">
      <c r="B11" s="1" t="str">
        <f t="shared" si="0"/>
        <v>Kevin</v>
      </c>
      <c r="C11" s="4">
        <f t="shared" si="1"/>
        <v>11</v>
      </c>
      <c r="D11" s="1">
        <f t="shared" ca="1" si="3"/>
        <v>0.37192078804249906</v>
      </c>
      <c r="E11" s="1">
        <f t="shared" ca="1" si="3"/>
        <v>0.82281510248831558</v>
      </c>
      <c r="F11" s="1">
        <f t="shared" si="2"/>
        <v>10</v>
      </c>
      <c r="G11" s="4" t="str">
        <f>Cast!B11</f>
        <v>Josh</v>
      </c>
    </row>
    <row r="12" spans="2:12" x14ac:dyDescent="0.25">
      <c r="B12" s="1" t="str">
        <f t="shared" si="0"/>
        <v>Mark</v>
      </c>
      <c r="C12" s="4">
        <f t="shared" si="1"/>
        <v>12</v>
      </c>
      <c r="D12" s="1">
        <f t="shared" ca="1" si="3"/>
        <v>0.19698498519655416</v>
      </c>
      <c r="E12" s="1">
        <f t="shared" ca="1" si="3"/>
        <v>0.87570602633862604</v>
      </c>
      <c r="F12" s="1">
        <f t="shared" si="2"/>
        <v>11</v>
      </c>
      <c r="G12" s="4" t="str">
        <f>Cast!B12</f>
        <v>Kevin</v>
      </c>
    </row>
    <row r="13" spans="2:12" x14ac:dyDescent="0.25">
      <c r="B13" s="1" t="str">
        <f t="shared" si="0"/>
        <v>Matt</v>
      </c>
      <c r="C13" s="4">
        <f t="shared" si="1"/>
        <v>13</v>
      </c>
      <c r="D13" s="1">
        <f t="shared" ca="1" si="3"/>
        <v>0.23080718027742153</v>
      </c>
      <c r="E13" s="1">
        <f t="shared" ca="1" si="3"/>
        <v>0.10554482539242127</v>
      </c>
      <c r="F13" s="1">
        <f t="shared" si="2"/>
        <v>12</v>
      </c>
      <c r="G13" s="4" t="str">
        <f>Cast!B13</f>
        <v>Mark</v>
      </c>
    </row>
    <row r="14" spans="2:12" x14ac:dyDescent="0.25">
      <c r="B14" s="1" t="str">
        <f t="shared" si="0"/>
        <v>Megan</v>
      </c>
      <c r="C14" s="4">
        <f t="shared" si="1"/>
        <v>14</v>
      </c>
      <c r="D14" s="1">
        <f t="shared" ca="1" si="3"/>
        <v>0.25221816292699795</v>
      </c>
      <c r="E14" s="1">
        <f t="shared" ca="1" si="3"/>
        <v>7.6062681589970427E-2</v>
      </c>
      <c r="F14" s="1">
        <f t="shared" si="2"/>
        <v>13</v>
      </c>
      <c r="G14" s="4" t="str">
        <f>Cast!B14</f>
        <v>Matt</v>
      </c>
    </row>
    <row r="15" spans="2:12" x14ac:dyDescent="0.25">
      <c r="B15" s="1" t="str">
        <f t="shared" si="0"/>
        <v>Ramses</v>
      </c>
      <c r="C15" s="4">
        <f t="shared" si="1"/>
        <v>16</v>
      </c>
      <c r="D15" s="1">
        <f t="shared" ca="1" si="3"/>
        <v>0.96385737931831927</v>
      </c>
      <c r="E15" s="1">
        <f t="shared" ca="1" si="3"/>
        <v>8.475745091103748E-2</v>
      </c>
      <c r="F15" s="1">
        <f t="shared" si="2"/>
        <v>14</v>
      </c>
      <c r="G15" s="4" t="str">
        <f>Cast!B15</f>
        <v>Megan</v>
      </c>
    </row>
    <row r="16" spans="2:12" x14ac:dyDescent="0.25">
      <c r="B16" s="1" t="str">
        <f t="shared" si="0"/>
        <v>Raven</v>
      </c>
      <c r="C16" s="4">
        <f t="shared" si="1"/>
        <v>17</v>
      </c>
      <c r="D16" s="1">
        <f t="shared" ca="1" si="3"/>
        <v>0.7541685055197227</v>
      </c>
      <c r="E16" s="1">
        <f t="shared" ca="1" si="3"/>
        <v>0.23149064467316194</v>
      </c>
      <c r="F16" s="1">
        <f t="shared" si="2"/>
        <v>15</v>
      </c>
      <c r="G16" s="4" t="str">
        <f>Cast!B16</f>
        <v>Ramses</v>
      </c>
    </row>
    <row r="17" spans="2:12" x14ac:dyDescent="0.25">
      <c r="B17" s="4" t="str">
        <f>G20</f>
        <v>Paul</v>
      </c>
      <c r="C17" s="4">
        <f t="shared" si="1"/>
        <v>15</v>
      </c>
      <c r="D17" s="1">
        <f t="shared" ca="1" si="3"/>
        <v>0.29045877365933881</v>
      </c>
      <c r="E17" s="1">
        <f t="shared" ca="1" si="3"/>
        <v>0.47375338867044348</v>
      </c>
      <c r="F17" s="1">
        <f t="shared" si="2"/>
        <v>16</v>
      </c>
      <c r="G17" s="4" t="str">
        <f>Cast!B17</f>
        <v>Raven</v>
      </c>
    </row>
    <row r="19" spans="2:12" x14ac:dyDescent="0.25">
      <c r="G19" s="1" t="s">
        <v>1</v>
      </c>
    </row>
    <row r="20" spans="2:12" x14ac:dyDescent="0.25">
      <c r="G20" s="4" t="str">
        <f>Cast!B20</f>
        <v>Paul</v>
      </c>
    </row>
    <row r="22" spans="2:12" x14ac:dyDescent="0.25">
      <c r="G22" s="2" t="s">
        <v>2</v>
      </c>
      <c r="L22" s="1"/>
    </row>
    <row r="23" spans="2:12" x14ac:dyDescent="0.25">
      <c r="F23" t="s">
        <v>5</v>
      </c>
      <c r="G23" t="s">
        <v>3</v>
      </c>
      <c r="I23" t="str">
        <f>Cast!D23</f>
        <v>On</v>
      </c>
      <c r="L23" s="1"/>
    </row>
    <row r="24" spans="2:12" x14ac:dyDescent="0.25">
      <c r="F24" t="s">
        <v>6</v>
      </c>
      <c r="G24" s="7" t="str">
        <f>IF($I$23="Off","","Set Popularity Logic")</f>
        <v>Set Popularity Logic</v>
      </c>
      <c r="L24" s="1"/>
    </row>
    <row r="25" spans="2:12" x14ac:dyDescent="0.25">
      <c r="L25" s="1"/>
    </row>
    <row r="26" spans="2:12" x14ac:dyDescent="0.25">
      <c r="G26" t="s">
        <v>4</v>
      </c>
      <c r="I26" t="str">
        <f>Cast!D26</f>
        <v>On</v>
      </c>
      <c r="L26" s="1"/>
    </row>
    <row r="27" spans="2:12" x14ac:dyDescent="0.25">
      <c r="G27" s="7" t="str">
        <f>IF($I$26="Off","","Set Relationship Logic")</f>
        <v>Set Relationship Logic</v>
      </c>
      <c r="L27" s="1"/>
    </row>
    <row r="28" spans="2:12" x14ac:dyDescent="0.25">
      <c r="L28" s="1"/>
    </row>
    <row r="29" spans="2:12" x14ac:dyDescent="0.25">
      <c r="C29" s="1"/>
      <c r="D29" s="1"/>
      <c r="E29" s="1"/>
      <c r="F29" s="1"/>
      <c r="G29" s="2" t="s">
        <v>64</v>
      </c>
      <c r="H29" s="1"/>
      <c r="I29" s="1"/>
      <c r="J29" s="1"/>
      <c r="K29" s="1"/>
    </row>
    <row r="30" spans="2:12" x14ac:dyDescent="0.25">
      <c r="C30" s="1" t="str">
        <f ca="1">INDEX(G2:G17,RANK(E2,E2:E17))</f>
        <v>Jason</v>
      </c>
      <c r="D30" s="1" t="str">
        <f ca="1">INDEX(G2:G17,RANK(E3,E2:E17))</f>
        <v>Alex</v>
      </c>
      <c r="E30" s="1" t="str">
        <f ca="1">INDEX(G2:G17,RANK(E4,E2:E17))</f>
        <v>Kevin</v>
      </c>
      <c r="F30" s="1" t="str">
        <f ca="1">INDEX(G2:G17,RANK(E5,E2:E17))</f>
        <v>Matt</v>
      </c>
      <c r="G30" s="1" t="s">
        <v>20</v>
      </c>
      <c r="H30" s="1" t="str">
        <f ca="1">C30&amp;", "&amp;D30&amp;", "&amp;E30&amp;" and "&amp;F30</f>
        <v>Jason, Alex, Kevin and Matt</v>
      </c>
      <c r="I30" s="1"/>
      <c r="J30" s="1"/>
      <c r="K30" s="1"/>
      <c r="L30" s="1"/>
    </row>
    <row r="31" spans="2:12" x14ac:dyDescent="0.25">
      <c r="C31" s="1" t="str">
        <f ca="1">INDEX(G2:G17,RANK(E6,E2:E17))</f>
        <v>Elena</v>
      </c>
      <c r="D31" s="1" t="str">
        <f ca="1">INDEX(G2:G17,RANK(E7,E2:E17))</f>
        <v>Jillian</v>
      </c>
      <c r="E31" s="1" t="str">
        <f ca="1">INDEX(G2:G17,RANK(E8,E2:E17))</f>
        <v>Raven</v>
      </c>
      <c r="F31" s="1" t="str">
        <f ca="1">INDEX(G2:G17,RANK(E9,E2:E17))</f>
        <v>Christmas</v>
      </c>
      <c r="G31" s="1" t="s">
        <v>21</v>
      </c>
      <c r="H31" s="1" t="str">
        <f ca="1">C31&amp;", "&amp;D31&amp;", "&amp;E31&amp;" and "&amp;F31</f>
        <v>Elena, Jillian, Raven and Christmas</v>
      </c>
      <c r="I31" s="1"/>
      <c r="J31" s="1"/>
      <c r="K31" s="1"/>
    </row>
    <row r="32" spans="2:12" x14ac:dyDescent="0.25">
      <c r="C32" s="1" t="str">
        <f ca="1">INDEX(G2:G17,RANK(E10,E2:E17))</f>
        <v>Cody</v>
      </c>
      <c r="D32" s="1" t="str">
        <f ca="1">INDEX(G2:G17,RANK(E11,E2:E17))</f>
        <v>Dominique</v>
      </c>
      <c r="E32" s="1" t="str">
        <f ca="1">INDEX(G2:G17,RANK(E12,E2:E17))</f>
        <v>Cameron</v>
      </c>
      <c r="F32" s="1" t="str">
        <f ca="1">INDEX(G2:G17,RANK(E13,E2:E17))</f>
        <v>Mark</v>
      </c>
      <c r="G32" s="1" t="s">
        <v>21</v>
      </c>
      <c r="H32" s="1" t="str">
        <f ca="1">C32&amp;", "&amp;D32&amp;", "&amp;E32&amp;" and "&amp;F32</f>
        <v>Cody, Dominique, Cameron and Mark</v>
      </c>
      <c r="I32" s="1"/>
      <c r="J32" s="1"/>
      <c r="K32" s="1"/>
    </row>
    <row r="33" spans="3:12" x14ac:dyDescent="0.25">
      <c r="C33" s="1" t="str">
        <f ca="1">INDEX(G2:G17,RANK(E14,E2:E17))</f>
        <v>Ramses</v>
      </c>
      <c r="D33" s="1" t="str">
        <f ca="1">INDEX(G2:G17,RANK(E15,E2:E17))</f>
        <v>Megan</v>
      </c>
      <c r="E33" s="1" t="str">
        <f ca="1">INDEX(G2:G17,RANK(E16,E2:E17))</f>
        <v>Josh</v>
      </c>
      <c r="F33" s="1" t="str">
        <f ca="1">INDEX(G2:G17,RANK(E17,E2:E17))</f>
        <v>Jessica</v>
      </c>
      <c r="G33" s="1" t="s">
        <v>22</v>
      </c>
      <c r="H33" s="1" t="str">
        <f ca="1">C33&amp;", "&amp;D33&amp;", "&amp;E33&amp;" and "&amp;F33</f>
        <v>Ramses, Megan, Josh and Jessica</v>
      </c>
      <c r="I33" s="1"/>
      <c r="J33" s="1"/>
      <c r="K33" s="1"/>
    </row>
    <row r="34" spans="3:12" x14ac:dyDescent="0.25">
      <c r="C34" s="1"/>
      <c r="D34" s="1"/>
      <c r="E34" s="1"/>
      <c r="F34" s="1"/>
      <c r="G34" s="1"/>
      <c r="H34" s="1"/>
      <c r="I34" s="1"/>
      <c r="J34" s="1"/>
      <c r="K34" s="1"/>
    </row>
    <row r="35" spans="3:12" x14ac:dyDescent="0.25">
      <c r="C35" s="1"/>
      <c r="D35" s="1"/>
      <c r="E35" s="1"/>
      <c r="F35" s="1"/>
      <c r="G35" s="9" t="str">
        <f>INDEX(G2:G17,MATCH(1,F2:F17,0))</f>
        <v>Alex</v>
      </c>
      <c r="H35" s="9" t="str">
        <f>INDEX(G2:G17,MATCH(2,F2:F17,0))</f>
        <v>Cameron</v>
      </c>
      <c r="I35" s="9" t="str">
        <f>INDEX(G2:G17,MATCH(3,F2:F17,0))</f>
        <v>Christmas</v>
      </c>
      <c r="J35" s="9" t="str">
        <f>INDEX(G2:G17,MATCH(4,F2:F17,0))</f>
        <v>Cody</v>
      </c>
      <c r="K35" s="9" t="str">
        <f>INDEX(G2:G17,MATCH(5,F2:F17,0))</f>
        <v>Dominique</v>
      </c>
    </row>
    <row r="36" spans="3:12" x14ac:dyDescent="0.25">
      <c r="C36" s="1"/>
      <c r="D36" s="1"/>
      <c r="E36" s="1"/>
      <c r="F36" s="1"/>
      <c r="G36" s="9" t="str">
        <f>INDEX(G2:G17,MATCH(6,F2:F17,0))</f>
        <v>Elena</v>
      </c>
      <c r="H36" s="9" t="str">
        <f>INDEX(G2:G17,MATCH(7,F2:F17,0))</f>
        <v>Jason</v>
      </c>
      <c r="I36" s="9" t="str">
        <f>INDEX(G2:G17,MATCH(8,F2:F17,0))</f>
        <v>Jessica</v>
      </c>
      <c r="J36" s="9" t="str">
        <f>INDEX(G2:G17,MATCH(9,F2:F17,0))</f>
        <v>Jillian</v>
      </c>
      <c r="K36" s="9" t="str">
        <f>INDEX(G2:G17,MATCH(10,F2:F17,0))</f>
        <v>Josh</v>
      </c>
      <c r="L36" s="9" t="str">
        <f>INDEX(G2:G17,MATCH(11,F2:F17,0))</f>
        <v>Kevin</v>
      </c>
    </row>
    <row r="37" spans="3:12" x14ac:dyDescent="0.25">
      <c r="C37" s="1"/>
      <c r="D37" s="1"/>
      <c r="E37" s="1"/>
      <c r="F37" s="1"/>
      <c r="G37" s="9" t="str">
        <f>INDEX(G2:G17,MATCH(12,F2:F17,0))</f>
        <v>Mark</v>
      </c>
      <c r="H37" s="9" t="str">
        <f>INDEX(G2:G17,MATCH(13,F2:F17,0))</f>
        <v>Matt</v>
      </c>
      <c r="I37" s="9" t="str">
        <f>INDEX(G2:G17,MATCH(14,F2:F17,0))</f>
        <v>Megan</v>
      </c>
      <c r="J37" s="9" t="str">
        <f>INDEX(G2:G17,MATCH(15,F2:F17,0))</f>
        <v>Ramses</v>
      </c>
      <c r="K37" s="9" t="str">
        <f>INDEX(G2:G17,MATCH(16,F2:F17,0))</f>
        <v>Raven</v>
      </c>
    </row>
    <row r="39" spans="3:12" x14ac:dyDescent="0.25">
      <c r="G39" s="2" t="s">
        <v>23</v>
      </c>
      <c r="H39" s="1"/>
      <c r="I39" s="1"/>
      <c r="J39" s="1"/>
      <c r="K39" s="1"/>
    </row>
    <row r="40" spans="3:12" x14ac:dyDescent="0.25">
      <c r="G40" s="1" t="s">
        <v>24</v>
      </c>
      <c r="H40" s="1"/>
      <c r="I40" s="1"/>
      <c r="J40" s="1"/>
      <c r="K40" s="1"/>
    </row>
    <row r="41" spans="3:12" x14ac:dyDescent="0.25">
      <c r="G41" s="1" t="s">
        <v>25</v>
      </c>
      <c r="H41" s="1"/>
      <c r="I41" s="1"/>
      <c r="J41" s="1"/>
      <c r="K41" s="1"/>
    </row>
    <row r="42" spans="3:12" x14ac:dyDescent="0.25">
      <c r="C42" s="1"/>
      <c r="G42" s="1" t="s">
        <v>26</v>
      </c>
      <c r="H42" s="1"/>
      <c r="I42" s="1"/>
      <c r="J42" s="1"/>
      <c r="K42" s="1"/>
    </row>
    <row r="43" spans="3:12" x14ac:dyDescent="0.25">
      <c r="G43" s="1"/>
      <c r="H43" s="1"/>
      <c r="I43" s="1"/>
      <c r="J43" s="1"/>
      <c r="K43" s="1"/>
    </row>
    <row r="44" spans="3:12" x14ac:dyDescent="0.25">
      <c r="G44" s="2" t="s">
        <v>27</v>
      </c>
      <c r="H44" s="1"/>
      <c r="I44" s="1"/>
      <c r="J44" s="1"/>
      <c r="K44" s="1"/>
    </row>
    <row r="45" spans="3:12" x14ac:dyDescent="0.25">
      <c r="G45" s="1" t="s">
        <v>28</v>
      </c>
      <c r="H45" s="1"/>
      <c r="I45" s="1"/>
      <c r="J45" s="1"/>
      <c r="K45" s="1"/>
    </row>
    <row r="46" spans="3:12" x14ac:dyDescent="0.25">
      <c r="G46" s="1" t="s">
        <v>29</v>
      </c>
      <c r="H46" s="1"/>
      <c r="I46" s="1"/>
      <c r="J46" s="1"/>
      <c r="K46" s="1"/>
    </row>
    <row r="47" spans="3:12" x14ac:dyDescent="0.25">
      <c r="G47" s="1" t="s">
        <v>30</v>
      </c>
      <c r="H47" s="1"/>
      <c r="I47" s="1"/>
      <c r="J47" s="1"/>
      <c r="K47" s="1"/>
    </row>
    <row r="48" spans="3:12" x14ac:dyDescent="0.25">
      <c r="G48" s="1" t="s">
        <v>31</v>
      </c>
      <c r="H48" s="1"/>
      <c r="I48" s="1"/>
      <c r="J48" s="1"/>
      <c r="K48" s="1"/>
    </row>
    <row r="49" spans="7:11" x14ac:dyDescent="0.25">
      <c r="G49" s="1" t="s">
        <v>32</v>
      </c>
      <c r="H49" s="1"/>
      <c r="I49" s="1"/>
      <c r="J49" s="1"/>
      <c r="K49" s="1"/>
    </row>
    <row r="50" spans="7:11" x14ac:dyDescent="0.25">
      <c r="G50" s="1"/>
      <c r="H50" s="1"/>
      <c r="I50" s="1"/>
      <c r="J50" s="1"/>
      <c r="K50" s="1"/>
    </row>
    <row r="51" spans="7:11" x14ac:dyDescent="0.25">
      <c r="G51" s="1" t="s">
        <v>33</v>
      </c>
      <c r="H51" s="1"/>
      <c r="I51" s="1"/>
      <c r="J51" s="1"/>
      <c r="K51" s="1"/>
    </row>
    <row r="52" spans="7:11" x14ac:dyDescent="0.25">
      <c r="G52" s="1" t="str">
        <f ca="1">INDEX(G2:G17,RANK(D2,D2:D17))</f>
        <v>Alex</v>
      </c>
      <c r="H52" s="1"/>
      <c r="I52" s="1"/>
      <c r="J52" s="1"/>
      <c r="K52" s="1"/>
    </row>
    <row r="53" spans="7:11" x14ac:dyDescent="0.25">
      <c r="G53" s="1"/>
      <c r="H53" s="1"/>
      <c r="I53" s="1"/>
      <c r="J53" s="1"/>
      <c r="K53" s="1"/>
    </row>
    <row r="54" spans="7:11" x14ac:dyDescent="0.25">
      <c r="G54" s="1" t="str">
        <f ca="1">G52&amp;" receives $25K and cannot win the first HOH"</f>
        <v>Alex receives $25K and cannot win the first HOH</v>
      </c>
      <c r="H54" s="1"/>
      <c r="I54" s="1"/>
      <c r="J54" s="1"/>
      <c r="K54" s="1"/>
    </row>
    <row r="55" spans="7:11" x14ac:dyDescent="0.25">
      <c r="G55" s="1"/>
      <c r="H55" s="1"/>
      <c r="I55" s="1"/>
      <c r="J55" s="1"/>
      <c r="K55" s="1"/>
    </row>
    <row r="56" spans="7:11" x14ac:dyDescent="0.25">
      <c r="G56" s="2" t="s">
        <v>23</v>
      </c>
      <c r="H56" s="1"/>
      <c r="I56" s="1"/>
      <c r="J56" s="1"/>
      <c r="K56" s="1"/>
    </row>
    <row r="57" spans="7:11" x14ac:dyDescent="0.25">
      <c r="G57" s="1" t="s">
        <v>34</v>
      </c>
      <c r="H57" s="1"/>
      <c r="I57" s="1"/>
      <c r="J57" s="1"/>
      <c r="K57" s="1"/>
    </row>
    <row r="58" spans="7:11" x14ac:dyDescent="0.25">
      <c r="G58" s="1" t="s">
        <v>35</v>
      </c>
      <c r="H58" s="1"/>
      <c r="I58" s="1"/>
      <c r="J58" s="1"/>
      <c r="K58" s="1"/>
    </row>
    <row r="59" spans="7:11" x14ac:dyDescent="0.25">
      <c r="G59" s="1" t="str">
        <f>"Second chancer, "&amp;G20&amp;", enters the house"</f>
        <v>Second chancer, Paul, enters the house</v>
      </c>
      <c r="H59" s="1"/>
      <c r="I59" s="1"/>
      <c r="J59" s="1"/>
      <c r="K59" s="1"/>
    </row>
    <row r="60" spans="7:11" x14ac:dyDescent="0.25">
      <c r="G60" s="1" t="str">
        <f>G20&amp;" will now play the season alongside the newbies"</f>
        <v>Paul will now play the season alongside the newbies</v>
      </c>
      <c r="H60" s="1"/>
      <c r="I60" s="1"/>
      <c r="J60" s="1"/>
      <c r="K60" s="1"/>
    </row>
    <row r="61" spans="7:11" x14ac:dyDescent="0.25">
      <c r="G61" s="1" t="str">
        <f>G20&amp;" will take someone's spot in the house, evicting a newbie on night 1"</f>
        <v>Paul will take someone's spot in the house, evicting a newbie on night 1</v>
      </c>
      <c r="H61" s="1"/>
      <c r="I61" s="1"/>
      <c r="J61" s="1"/>
      <c r="K61" s="1"/>
    </row>
    <row r="62" spans="7:11" x14ac:dyDescent="0.25">
      <c r="G62" s="1"/>
      <c r="H62" s="1"/>
      <c r="I62" s="1"/>
      <c r="J62" s="1"/>
      <c r="K62" s="1"/>
    </row>
    <row r="64" spans="7:11" x14ac:dyDescent="0.25">
      <c r="G64" s="2" t="s">
        <v>36</v>
      </c>
      <c r="H64" s="1"/>
      <c r="I64" s="1"/>
    </row>
    <row r="65" spans="3:10" x14ac:dyDescent="0.25">
      <c r="G65" s="1" t="s">
        <v>37</v>
      </c>
      <c r="H65" s="1"/>
      <c r="I65" s="1"/>
    </row>
    <row r="66" spans="3:10" x14ac:dyDescent="0.25">
      <c r="G66" s="1" t="str">
        <f>G20&amp;" gets one, as well as 8 newbies"</f>
        <v>Paul gets one, as well as 8 newbies</v>
      </c>
      <c r="H66" s="1"/>
      <c r="I66" s="1"/>
    </row>
    <row r="67" spans="3:10" x14ac:dyDescent="0.25">
      <c r="G67" s="1" t="s">
        <v>38</v>
      </c>
      <c r="H67" s="1"/>
      <c r="I67" s="1"/>
    </row>
    <row r="69" spans="3:10" x14ac:dyDescent="0.25">
      <c r="C69" s="1"/>
      <c r="D69" s="1"/>
      <c r="E69" s="1"/>
      <c r="F69" s="1"/>
      <c r="G69" s="2" t="s">
        <v>39</v>
      </c>
      <c r="H69" s="1"/>
      <c r="I69" s="1"/>
      <c r="J69" s="1"/>
    </row>
    <row r="70" spans="3:10" x14ac:dyDescent="0.25">
      <c r="C70" s="1"/>
      <c r="D70" s="1"/>
      <c r="E70" s="1"/>
      <c r="F70" s="1"/>
      <c r="G70" s="1" t="str">
        <f>G20&amp;" decides to give the bracelets to…"</f>
        <v>Paul decides to give the bracelets to…</v>
      </c>
      <c r="H70" s="1"/>
      <c r="I70" s="1"/>
      <c r="J70" s="1"/>
    </row>
    <row r="71" spans="3:10" x14ac:dyDescent="0.25">
      <c r="C71" s="1">
        <f t="shared" ref="C71:C78" ca="1" si="4">RAND()</f>
        <v>0.23184389437114472</v>
      </c>
      <c r="D71" s="1" t="str">
        <f ca="1">INDEX(D79:D86,MATCH(1,C79:C86,0))</f>
        <v>Alex</v>
      </c>
      <c r="E71" s="1">
        <f ca="1">RAND()</f>
        <v>0.44488840325496837</v>
      </c>
      <c r="F71" s="1" t="str">
        <f t="shared" ref="F71:F86" si="5">G2</f>
        <v>Alex</v>
      </c>
      <c r="G71" s="1" t="str">
        <f ca="1">IF($I$26="On",INDEX(Sheet4!B25:R25,MATCH(Game!$G$20,Sheet4!$B$24:$R$24,0)),INDEX(F71:F86,MATCH(SMALL($E$71:$E$86,1),$E$71:$E$86,0)))</f>
        <v>Megan</v>
      </c>
      <c r="H71" s="1"/>
      <c r="I71" s="1"/>
      <c r="J71" s="1"/>
    </row>
    <row r="72" spans="3:10" x14ac:dyDescent="0.25">
      <c r="C72" s="1">
        <f t="shared" ca="1" si="4"/>
        <v>0.94065311514157202</v>
      </c>
      <c r="D72" s="1" t="str">
        <f ca="1">INDEX(D79:D86,MATCH(2,C79:C86,0))</f>
        <v>Cameron</v>
      </c>
      <c r="E72" s="1">
        <f t="shared" ref="E72:E86" ca="1" si="6">RAND()</f>
        <v>0.2448170012319979</v>
      </c>
      <c r="F72" s="1" t="str">
        <f t="shared" si="5"/>
        <v>Cameron</v>
      </c>
      <c r="G72" s="1" t="str">
        <f ca="1">IF($I$26="On",INDEX(Sheet4!B26:R26,MATCH(Game!$G$20,Sheet4!$B$24:$R$24,0)),INDEX($F$71:$F$86,MATCH(SMALL($E$71:$E$86,2),$E$71:$E$86,0)))</f>
        <v>Jillian</v>
      </c>
      <c r="H72" s="1"/>
      <c r="I72" s="1"/>
      <c r="J72" s="1"/>
    </row>
    <row r="73" spans="3:10" x14ac:dyDescent="0.25">
      <c r="C73" s="1">
        <f t="shared" ca="1" si="4"/>
        <v>0.45298912442074801</v>
      </c>
      <c r="D73" s="1" t="str">
        <f ca="1">INDEX(D79:D86,MATCH(3,C79:C86,0))</f>
        <v>Cody</v>
      </c>
      <c r="E73" s="1">
        <f t="shared" ca="1" si="6"/>
        <v>0.42470857199456069</v>
      </c>
      <c r="F73" s="1" t="str">
        <f t="shared" si="5"/>
        <v>Christmas</v>
      </c>
      <c r="G73" s="1" t="str">
        <f ca="1">IF($I$26="On",INDEX(Sheet4!B27:R27,MATCH(Game!$G$20,Sheet4!$B$24:$R$24,0)),INDEX($F$71:$F$86,MATCH(SMALL($E$71:$E$86,3),$E$71:$E$86,0)))</f>
        <v>Ramses</v>
      </c>
      <c r="H73" s="1"/>
      <c r="I73" s="1"/>
      <c r="J73" s="1"/>
    </row>
    <row r="74" spans="3:10" x14ac:dyDescent="0.25">
      <c r="C74" s="1">
        <f t="shared" ca="1" si="4"/>
        <v>0.67127643987252417</v>
      </c>
      <c r="D74" s="1" t="str">
        <f ca="1">INDEX(D79:D86,MATCH(4,C79:C86,0))</f>
        <v>Dominique</v>
      </c>
      <c r="E74" s="1">
        <f t="shared" ca="1" si="6"/>
        <v>0.13170761571130263</v>
      </c>
      <c r="F74" s="1" t="str">
        <f t="shared" si="5"/>
        <v>Cody</v>
      </c>
      <c r="G74" s="1" t="str">
        <f ca="1">IF($I$26="On",INDEX(Sheet4!B28:R28,MATCH(Game!$G$20,Sheet4!$B$24:$R$24,0)),INDEX($F$71:$F$86,MATCH(SMALL($E$71:$E$86,4),$E$71:$E$86,0)))</f>
        <v>Matt</v>
      </c>
      <c r="H74" s="1"/>
      <c r="I74" s="1"/>
      <c r="J74" s="1"/>
    </row>
    <row r="75" spans="3:10" x14ac:dyDescent="0.25">
      <c r="C75" s="1">
        <f t="shared" ca="1" si="4"/>
        <v>0.66515643357820953</v>
      </c>
      <c r="D75" s="1" t="str">
        <f ca="1">INDEX(D79:D86,MATCH(5,C79:C86,0))</f>
        <v>Elena</v>
      </c>
      <c r="E75" s="1">
        <f t="shared" ca="1" si="6"/>
        <v>0.19389301975985207</v>
      </c>
      <c r="F75" s="1" t="str">
        <f t="shared" si="5"/>
        <v>Dominique</v>
      </c>
      <c r="G75" s="1" t="str">
        <f ca="1">IF($I$26="On",INDEX(Sheet4!B29:R29,MATCH(Game!$G$20,Sheet4!$B$24:$R$24,0)),INDEX($F$71:$F$86,MATCH(SMALL($E$71:$E$86,5),$E$71:$E$86,0)))</f>
        <v>Christmas</v>
      </c>
      <c r="H75" s="1"/>
      <c r="I75" s="1"/>
      <c r="J75" s="1"/>
    </row>
    <row r="76" spans="3:10" x14ac:dyDescent="0.25">
      <c r="C76" s="1">
        <f t="shared" ca="1" si="4"/>
        <v>0.75149972184822589</v>
      </c>
      <c r="D76" s="1" t="str">
        <f ca="1">INDEX(D79:D86,MATCH(6,C79:C86,0))</f>
        <v>Josh</v>
      </c>
      <c r="E76" s="1">
        <f t="shared" ca="1" si="6"/>
        <v>0.66881816782636927</v>
      </c>
      <c r="F76" s="1" t="str">
        <f t="shared" si="5"/>
        <v>Elena</v>
      </c>
      <c r="G76" s="1" t="str">
        <f ca="1">IF($I$26="On",INDEX(Sheet4!B30:R30,MATCH(Game!$G$20,Sheet4!$B$24:$R$24,0)),INDEX($F$71:$F$86,MATCH(SMALL($E$71:$E$86,6),$E$71:$E$86,0)))</f>
        <v>Kevin</v>
      </c>
      <c r="H76" s="1"/>
      <c r="I76" s="1"/>
      <c r="J76" s="1"/>
    </row>
    <row r="77" spans="3:10" x14ac:dyDescent="0.25">
      <c r="C77" s="1">
        <f t="shared" ca="1" si="4"/>
        <v>0.91009999720513091</v>
      </c>
      <c r="D77" s="1" t="str">
        <f ca="1">INDEX(D79:D86,MATCH(7,C79:C86,0))</f>
        <v>Mark</v>
      </c>
      <c r="E77" s="1">
        <f t="shared" ca="1" si="6"/>
        <v>0.81725619224143642</v>
      </c>
      <c r="F77" s="1" t="str">
        <f t="shared" si="5"/>
        <v>Jason</v>
      </c>
      <c r="G77" s="1" t="str">
        <f ca="1">IF($I$26="On",INDEX(Sheet4!B31:R31,MATCH(Game!$G$20,Sheet4!$B$24:$R$24,0)),INDEX($F$71:$F$86,MATCH(SMALL($E$71:$E$86,7),$E$71:$E$86,0)))</f>
        <v>Jessica</v>
      </c>
      <c r="H77" s="1"/>
      <c r="I77" s="1"/>
      <c r="J77" s="1"/>
    </row>
    <row r="78" spans="3:10" x14ac:dyDescent="0.25">
      <c r="C78" s="1">
        <f t="shared" ca="1" si="4"/>
        <v>0.29553285667953177</v>
      </c>
      <c r="D78" s="1" t="str">
        <f ca="1">INDEX(D79:D86,MATCH(8,C79:C86,0))</f>
        <v>Raven</v>
      </c>
      <c r="E78" s="1">
        <f t="shared" ca="1" si="6"/>
        <v>0.16435769882117479</v>
      </c>
      <c r="F78" s="1" t="str">
        <f t="shared" si="5"/>
        <v>Jessica</v>
      </c>
      <c r="G78" s="1" t="str">
        <f ca="1">"and "&amp;IF($I$26="On",INDEX(Sheet4!B32:R32,MATCH(Game!$G$20,Sheet4!$B$24:$R$24,0)),INDEX($F$71:$F$86,MATCH(SMALL($E$71:$E$86,8),$E$71:$E$86,0)))</f>
        <v>and Jason</v>
      </c>
      <c r="H78" s="1"/>
      <c r="I78" s="1"/>
      <c r="J78" s="1"/>
    </row>
    <row r="79" spans="3:10" x14ac:dyDescent="0.25">
      <c r="C79" s="1">
        <f t="shared" ref="C79:C86" ca="1" si="7">COUNTIF($D$79:$D$86,"&lt;="&amp;D79)</f>
        <v>5</v>
      </c>
      <c r="D79" s="1" t="str">
        <f ca="1">IF($I$26="On",INDEX(Sheet4!B33:R33,MATCH(Game!$G$20,Sheet4!$B$24:$R$24,0)),INDEX($F$71:$F$86,MATCH(SMALL($E$71:$E$86,9),$E$71:$E$86,0)))</f>
        <v>Elena</v>
      </c>
      <c r="E79" s="1">
        <f t="shared" ca="1" si="6"/>
        <v>0.36463021123251438</v>
      </c>
      <c r="F79" s="1" t="str">
        <f t="shared" si="5"/>
        <v>Jillian</v>
      </c>
      <c r="G79" s="1"/>
      <c r="H79" s="1"/>
      <c r="I79" s="1"/>
      <c r="J79" s="1"/>
    </row>
    <row r="80" spans="3:10" x14ac:dyDescent="0.25">
      <c r="C80" s="1">
        <f t="shared" ca="1" si="7"/>
        <v>7</v>
      </c>
      <c r="D80" s="1" t="str">
        <f ca="1">IF($I$26="On",INDEX(Sheet4!B34:R34,MATCH(Game!$G$20,Sheet4!$B$24:$R$24,0)),INDEX($F$71:$F$86,MATCH(SMALL($E$71:$E$86,10),$E$71:$E$86,0)))</f>
        <v>Mark</v>
      </c>
      <c r="E80" s="1">
        <f t="shared" ca="1" si="6"/>
        <v>0.14045878590319461</v>
      </c>
      <c r="F80" s="1" t="str">
        <f t="shared" si="5"/>
        <v>Josh</v>
      </c>
      <c r="G80" s="1" t="str">
        <f ca="1">"That leaves "&amp;D71&amp;", "&amp;D72&amp;", "&amp;D73&amp;", "&amp;D74&amp;","</f>
        <v>That leaves Alex, Cameron, Cody, Dominique,</v>
      </c>
      <c r="H80" s="1"/>
      <c r="I80" s="1"/>
      <c r="J80" s="1"/>
    </row>
    <row r="81" spans="3:10" x14ac:dyDescent="0.25">
      <c r="C81" s="1">
        <f t="shared" ca="1" si="7"/>
        <v>3</v>
      </c>
      <c r="D81" s="1" t="str">
        <f ca="1">IF($I$26="On",INDEX(Sheet4!B35:R35,MATCH(Game!$G$20,Sheet4!$B$24:$R$24,0)),INDEX($F$71:$F$86,MATCH(SMALL($E$71:$E$86,11),$E$71:$E$86,0)))</f>
        <v>Cody</v>
      </c>
      <c r="E81" s="1">
        <f t="shared" ca="1" si="6"/>
        <v>3.2000784781526792E-2</v>
      </c>
      <c r="F81" s="1" t="str">
        <f t="shared" si="5"/>
        <v>Kevin</v>
      </c>
      <c r="G81" s="1" t="str">
        <f ca="1">D75&amp;", "&amp;D76&amp;", "&amp;D77&amp;" and "&amp;D78</f>
        <v>Elena, Josh, Mark and Raven</v>
      </c>
      <c r="H81" s="1"/>
      <c r="I81" s="1"/>
      <c r="J81" s="1"/>
    </row>
    <row r="82" spans="3:10" x14ac:dyDescent="0.25">
      <c r="C82" s="1">
        <f t="shared" ca="1" si="7"/>
        <v>4</v>
      </c>
      <c r="D82" s="1" t="str">
        <f ca="1">IF($I$26="On",INDEX(Sheet4!B36:R36,MATCH(Game!$G$20,Sheet4!$B$24:$R$24,0)),INDEX($F$71:$F$86,MATCH(SMALL($E$71:$E$86,12),$E$71:$E$86,0)))</f>
        <v>Dominique</v>
      </c>
      <c r="E82" s="1">
        <f t="shared" ca="1" si="6"/>
        <v>0.38767877837460807</v>
      </c>
      <c r="F82" s="1" t="str">
        <f t="shared" si="5"/>
        <v>Mark</v>
      </c>
      <c r="G82" s="1"/>
      <c r="H82" s="1"/>
      <c r="I82" s="1"/>
      <c r="J82" s="1"/>
    </row>
    <row r="83" spans="3:10" x14ac:dyDescent="0.25">
      <c r="C83" s="1">
        <f t="shared" ca="1" si="7"/>
        <v>6</v>
      </c>
      <c r="D83" s="1" t="str">
        <f ca="1">IF($I$26="On",INDEX(Sheet4!B37:R37,MATCH(Game!$G$20,Sheet4!$B$24:$R$24,0)),INDEX($F$71:$F$86,MATCH(SMALL($E$71:$E$86,13),$E$71:$E$86,0)))</f>
        <v>Josh</v>
      </c>
      <c r="E83" s="1">
        <f t="shared" ca="1" si="6"/>
        <v>0.57133542192859654</v>
      </c>
      <c r="F83" s="1" t="str">
        <f t="shared" si="5"/>
        <v>Matt</v>
      </c>
      <c r="G83" s="1" t="s">
        <v>40</v>
      </c>
      <c r="H83" s="1"/>
      <c r="I83" s="1"/>
      <c r="J83" s="1"/>
    </row>
    <row r="84" spans="3:10" x14ac:dyDescent="0.25">
      <c r="C84" s="1">
        <f t="shared" ca="1" si="7"/>
        <v>2</v>
      </c>
      <c r="D84" s="1" t="str">
        <f ca="1">IF($I$26="On",INDEX(Sheet4!B38:R38,MATCH(Game!$G$20,Sheet4!$B$24:$R$24,0)),INDEX($F$71:$F$86,MATCH(SMALL($E$71:$E$86,14),$E$71:$E$86,0)))</f>
        <v>Cameron</v>
      </c>
      <c r="E84" s="1">
        <f t="shared" ca="1" si="6"/>
        <v>2.4812913971703598E-2</v>
      </c>
      <c r="F84" s="1" t="str">
        <f t="shared" si="5"/>
        <v>Megan</v>
      </c>
      <c r="G84" s="1"/>
      <c r="H84" s="1"/>
      <c r="I84" s="1"/>
      <c r="J84" s="1"/>
    </row>
    <row r="85" spans="3:10" x14ac:dyDescent="0.25">
      <c r="C85" s="1">
        <f t="shared" ca="1" si="7"/>
        <v>1</v>
      </c>
      <c r="D85" s="1" t="str">
        <f ca="1">IF($I$26="On",INDEX(Sheet4!B39:R39,MATCH(Game!$G$20,Sheet4!$B$24:$R$24,0)),INDEX($F$71:$F$86,MATCH(SMALL($E$71:$E$86,15),$E$71:$E$86,0)))</f>
        <v>Alex</v>
      </c>
      <c r="E85" s="1">
        <f t="shared" ca="1" si="6"/>
        <v>9.302461322156752E-2</v>
      </c>
      <c r="F85" s="1" t="str">
        <f t="shared" si="5"/>
        <v>Ramses</v>
      </c>
      <c r="G85" s="2" t="s">
        <v>27</v>
      </c>
      <c r="H85" s="1"/>
      <c r="I85" s="1"/>
      <c r="J85" s="1"/>
    </row>
    <row r="86" spans="3:10" x14ac:dyDescent="0.25">
      <c r="C86" s="1">
        <f t="shared" ca="1" si="7"/>
        <v>8</v>
      </c>
      <c r="D86" s="1" t="str">
        <f ca="1">IF($I$26="On",INDEX(Sheet4!B40:R40,MATCH(Game!$G$20,Sheet4!$B$24:$R$24,0)),INDEX($F$71:$F$86,MATCH(SMALL($E$71:$E$86,16),$E$71:$E$86,0)))</f>
        <v>Raven</v>
      </c>
      <c r="E86" s="1">
        <f t="shared" ca="1" si="6"/>
        <v>0.31619651629194345</v>
      </c>
      <c r="F86" s="1" t="str">
        <f t="shared" si="5"/>
        <v>Raven</v>
      </c>
      <c r="G86" s="10" t="str">
        <f ca="1">D71</f>
        <v>Alex</v>
      </c>
      <c r="H86" s="10" t="str">
        <f ca="1">D72</f>
        <v>Cameron</v>
      </c>
      <c r="I86" s="10" t="str">
        <f ca="1">D73</f>
        <v>Cody</v>
      </c>
      <c r="J86" s="10" t="str">
        <f ca="1">D74</f>
        <v>Dominique</v>
      </c>
    </row>
    <row r="87" spans="3:10" x14ac:dyDescent="0.25">
      <c r="C87" s="1"/>
      <c r="D87" s="1"/>
      <c r="E87" s="1"/>
      <c r="F87" s="1"/>
      <c r="G87" s="10" t="str">
        <f ca="1">D75</f>
        <v>Elena</v>
      </c>
      <c r="H87" s="10" t="str">
        <f ca="1">D76</f>
        <v>Josh</v>
      </c>
      <c r="I87" s="10" t="str">
        <f ca="1">D77</f>
        <v>Mark</v>
      </c>
      <c r="J87" s="10" t="str">
        <f ca="1">D78</f>
        <v>Raven</v>
      </c>
    </row>
    <row r="89" spans="3:10" x14ac:dyDescent="0.25">
      <c r="C89" s="1"/>
      <c r="D89" s="1"/>
      <c r="E89" s="1"/>
      <c r="F89" s="1"/>
      <c r="G89" s="1" t="s">
        <v>46</v>
      </c>
      <c r="H89" s="1" t="str">
        <f ca="1">INDEX(D71:D78,RANK(C71,C71:C78))</f>
        <v>Raven</v>
      </c>
    </row>
    <row r="90" spans="3:10" x14ac:dyDescent="0.25">
      <c r="C90" s="1"/>
      <c r="D90" s="1"/>
      <c r="E90" s="1"/>
      <c r="F90" s="1"/>
      <c r="G90" s="1" t="s">
        <v>47</v>
      </c>
      <c r="H90" s="1" t="str">
        <f ca="1">INDEX(D71:D78,RANK(C72,C71:C78))</f>
        <v>Alex</v>
      </c>
    </row>
    <row r="91" spans="3:10" x14ac:dyDescent="0.25">
      <c r="C91" s="1"/>
      <c r="D91" s="1"/>
      <c r="E91" s="1"/>
      <c r="F91" s="1"/>
      <c r="G91" s="1" t="s">
        <v>48</v>
      </c>
      <c r="H91" s="1" t="str">
        <f ca="1">INDEX(D71:D78,RANK(C73,C71:C78))</f>
        <v>Josh</v>
      </c>
    </row>
    <row r="92" spans="3:10" x14ac:dyDescent="0.25">
      <c r="C92" s="1"/>
      <c r="D92" s="1"/>
      <c r="E92" s="1"/>
      <c r="F92" s="1"/>
      <c r="G92" s="1" t="s">
        <v>49</v>
      </c>
      <c r="H92" s="1" t="str">
        <f ca="1">INDEX(D71:D78,RANK(C74,C71:C78))</f>
        <v>Dominique</v>
      </c>
    </row>
    <row r="93" spans="3:10" x14ac:dyDescent="0.25">
      <c r="C93" s="1"/>
      <c r="D93" s="1"/>
      <c r="E93" s="1"/>
      <c r="F93" s="1"/>
      <c r="G93" s="1" t="s">
        <v>50</v>
      </c>
      <c r="H93" s="1" t="str">
        <f ca="1">INDEX(D71:D78,RANK(C75,C71:C78))</f>
        <v>Elena</v>
      </c>
    </row>
    <row r="94" spans="3:10" x14ac:dyDescent="0.25">
      <c r="C94" s="1"/>
      <c r="D94" s="1">
        <f t="shared" ref="D94:D100" ca="1" si="8">RAND()</f>
        <v>0.32385986109053899</v>
      </c>
      <c r="E94" s="1" t="s">
        <v>51</v>
      </c>
      <c r="F94" s="1"/>
      <c r="G94" s="1" t="s">
        <v>52</v>
      </c>
      <c r="H94" s="1" t="str">
        <f ca="1">INDEX(D71:D78,RANK(C76,C71:C78))</f>
        <v>Cody</v>
      </c>
    </row>
    <row r="95" spans="3:10" x14ac:dyDescent="0.25">
      <c r="C95" s="1"/>
      <c r="D95" s="1">
        <f t="shared" ca="1" si="8"/>
        <v>0.75078598624433368</v>
      </c>
      <c r="E95" s="1" t="s">
        <v>51</v>
      </c>
      <c r="F95" s="1"/>
      <c r="G95" s="1" t="s">
        <v>53</v>
      </c>
      <c r="H95" s="1" t="str">
        <f ca="1">INDEX(D71:D78,RANK(C77,C71:C78))</f>
        <v>Cameron</v>
      </c>
    </row>
    <row r="96" spans="3:10" x14ac:dyDescent="0.25">
      <c r="C96" s="1"/>
      <c r="D96" s="1">
        <f t="shared" ca="1" si="8"/>
        <v>0.3189288865030212</v>
      </c>
      <c r="E96" s="1" t="s">
        <v>51</v>
      </c>
      <c r="F96" s="1"/>
      <c r="G96" s="1" t="s">
        <v>54</v>
      </c>
      <c r="H96" s="1" t="str">
        <f ca="1">INDEX(D71:D78,RANK(C78,C71:C78))</f>
        <v>Mark</v>
      </c>
    </row>
    <row r="97" spans="1:9" x14ac:dyDescent="0.25">
      <c r="C97" s="1"/>
      <c r="D97" s="1">
        <f t="shared" ca="1" si="8"/>
        <v>0.28338823554526371</v>
      </c>
      <c r="E97" s="1" t="s">
        <v>51</v>
      </c>
      <c r="F97" s="1"/>
      <c r="G97" s="1"/>
      <c r="H97" s="1"/>
    </row>
    <row r="98" spans="1:9" x14ac:dyDescent="0.25">
      <c r="C98" s="1"/>
      <c r="D98" s="1">
        <f t="shared" ca="1" si="8"/>
        <v>0.17104147106125522</v>
      </c>
      <c r="E98" s="1" t="s">
        <v>55</v>
      </c>
      <c r="F98" s="1"/>
      <c r="G98" s="1" t="str">
        <f ca="1">H96&amp;" wins safety!"</f>
        <v>Mark wins safety!</v>
      </c>
      <c r="H98" s="1"/>
    </row>
    <row r="99" spans="1:9" x14ac:dyDescent="0.25">
      <c r="C99" s="1"/>
      <c r="D99" s="1">
        <f t="shared" ca="1" si="8"/>
        <v>0.35739416910623212</v>
      </c>
      <c r="E99" s="1" t="s">
        <v>55</v>
      </c>
      <c r="F99" s="1"/>
      <c r="G99" s="1" t="s">
        <v>56</v>
      </c>
      <c r="H99" s="1"/>
    </row>
    <row r="100" spans="1:9" x14ac:dyDescent="0.25">
      <c r="C100" s="1"/>
      <c r="D100" s="1">
        <f t="shared" ca="1" si="8"/>
        <v>0.39219976822616631</v>
      </c>
      <c r="E100" s="1" t="s">
        <v>55</v>
      </c>
      <c r="F100" s="1"/>
      <c r="G100" s="1"/>
      <c r="H100" s="1"/>
    </row>
    <row r="101" spans="1:9" x14ac:dyDescent="0.25">
      <c r="C101" s="1"/>
      <c r="D101" s="1"/>
      <c r="E101" s="1"/>
      <c r="F101" s="1"/>
      <c r="G101" s="1" t="str">
        <f ca="1">"The apple "&amp;H89&amp;" took contains…"</f>
        <v>The apple Raven took contains…</v>
      </c>
      <c r="H101" s="1"/>
      <c r="I101" s="1"/>
    </row>
    <row r="102" spans="1:9" x14ac:dyDescent="0.25">
      <c r="C102" s="1" t="str">
        <f t="shared" ref="C102:C108" ca="1" si="9">IF(D102="","",COUNTIF($D$102:$D$108,"&lt;="&amp;D102))</f>
        <v/>
      </c>
      <c r="D102" s="1" t="str">
        <f t="shared" ref="D102:D108" ca="1" si="10">IF(E102="Nomination",H89,"")</f>
        <v/>
      </c>
      <c r="E102" s="1" t="str">
        <f ca="1">INDEX(E94:E100,RANK(D94,D94:D100))</f>
        <v>Safety</v>
      </c>
      <c r="F102" s="1"/>
      <c r="G102" s="1" t="str">
        <f ca="1">E102</f>
        <v>Safety</v>
      </c>
      <c r="H102" s="1"/>
      <c r="I102" s="1"/>
    </row>
    <row r="103" spans="1:9" x14ac:dyDescent="0.25">
      <c r="C103" s="1" t="str">
        <f t="shared" ca="1" si="9"/>
        <v/>
      </c>
      <c r="D103" s="1" t="str">
        <f t="shared" ca="1" si="10"/>
        <v/>
      </c>
      <c r="E103" s="1" t="str">
        <f ca="1">INDEX(E94:E100,RANK(D95,D94:D100))</f>
        <v>Safety</v>
      </c>
      <c r="F103" s="1"/>
      <c r="G103" s="1" t="str">
        <f ca="1">IF(G102="Nomination",H89&amp;" is nominated",H89&amp;" is safe")</f>
        <v>Raven is safe</v>
      </c>
      <c r="H103" s="1"/>
      <c r="I103" s="1"/>
    </row>
    <row r="104" spans="1:9" x14ac:dyDescent="0.25">
      <c r="C104" s="1">
        <f t="shared" ca="1" si="9"/>
        <v>7</v>
      </c>
      <c r="D104" s="1" t="str">
        <f t="shared" ca="1" si="10"/>
        <v>Josh</v>
      </c>
      <c r="E104" s="1" t="str">
        <f ca="1">INDEX(E94:E100,RANK(D96,D94:D100))</f>
        <v>Nomination</v>
      </c>
      <c r="F104" s="1"/>
      <c r="G104" s="1"/>
      <c r="H104" s="1"/>
      <c r="I104" s="1"/>
    </row>
    <row r="105" spans="1:9" x14ac:dyDescent="0.25">
      <c r="A105" t="str">
        <f ca="1">IF(B105="","",COUNTIF(B105:B108,"&lt;="&amp;B105))</f>
        <v/>
      </c>
      <c r="B105" t="str">
        <f ca="1">IF(G114="",H92,"")</f>
        <v/>
      </c>
      <c r="C105" s="1">
        <f t="shared" ca="1" si="9"/>
        <v>5</v>
      </c>
      <c r="D105" s="1" t="str">
        <f t="shared" ca="1" si="10"/>
        <v>Dominique</v>
      </c>
      <c r="E105" s="1" t="str">
        <f ca="1">INDEX(E94:E100,RANK(D97,D94:D100))</f>
        <v>Nomination</v>
      </c>
      <c r="F105" s="1"/>
      <c r="G105" s="1" t="str">
        <f ca="1">"The apple "&amp;H90&amp;" took contains…"</f>
        <v>The apple Alex took contains…</v>
      </c>
      <c r="H105" s="1"/>
      <c r="I105" s="1"/>
    </row>
    <row r="106" spans="1:9" x14ac:dyDescent="0.25">
      <c r="A106" t="str">
        <f ca="1">IF(B106="","",COUNTIF(B105:B108,"&lt;="&amp;B106)-COUNTIF(B105:B108,""))</f>
        <v/>
      </c>
      <c r="B106" t="str">
        <f ca="1">IF(G118="",H93,"")</f>
        <v/>
      </c>
      <c r="C106" s="1">
        <f t="shared" ca="1" si="9"/>
        <v>6</v>
      </c>
      <c r="D106" s="1" t="str">
        <f t="shared" ca="1" si="10"/>
        <v>Elena</v>
      </c>
      <c r="E106" s="1" t="str">
        <f ca="1">INDEX(E94:E100,RANK(D98,D94:D100))</f>
        <v>Nomination</v>
      </c>
      <c r="F106" s="1"/>
      <c r="G106" s="1" t="str">
        <f ca="1">E103</f>
        <v>Safety</v>
      </c>
      <c r="H106" s="1"/>
      <c r="I106" s="1"/>
    </row>
    <row r="107" spans="1:9" x14ac:dyDescent="0.25">
      <c r="A107">
        <f ca="1">IF(B107="","",COUNTIF(B105:B108,"&lt;="&amp;B107)-COUNTIF(B105:B108,""))</f>
        <v>2</v>
      </c>
      <c r="B107" t="str">
        <f ca="1">IF(G122="",H94,"")</f>
        <v>Cody</v>
      </c>
      <c r="C107" s="1" t="str">
        <f t="shared" ca="1" si="9"/>
        <v/>
      </c>
      <c r="D107" s="1" t="str">
        <f t="shared" ca="1" si="10"/>
        <v/>
      </c>
      <c r="E107" s="1" t="str">
        <f ca="1">INDEX(E94:E100,RANK(D99,D94:D100))</f>
        <v>Safety</v>
      </c>
      <c r="F107" s="1"/>
      <c r="G107" s="1" t="str">
        <f ca="1">IF(G106="Nomination",H90&amp;" is nominated",H90&amp;" is safe")</f>
        <v>Alex is safe</v>
      </c>
      <c r="H107" s="1"/>
      <c r="I107" s="1"/>
    </row>
    <row r="108" spans="1:9" x14ac:dyDescent="0.25">
      <c r="A108">
        <f ca="1">IF(B108="","",COUNTIF(B105:B108,"&lt;="&amp;B108)-COUNTIF(B105:B108,""))</f>
        <v>1</v>
      </c>
      <c r="B108" t="str">
        <f ca="1">H95</f>
        <v>Cameron</v>
      </c>
      <c r="C108" s="1" t="str">
        <f t="shared" ca="1" si="9"/>
        <v/>
      </c>
      <c r="D108" s="1" t="str">
        <f t="shared" ca="1" si="10"/>
        <v/>
      </c>
      <c r="E108" s="1" t="str">
        <f ca="1">INDEX(E94:E100,RANK(D100,D94:D100))</f>
        <v>Safety</v>
      </c>
      <c r="F108" s="1"/>
      <c r="G108" s="1"/>
      <c r="H108" s="1"/>
      <c r="I108" s="1"/>
    </row>
    <row r="109" spans="1:9" x14ac:dyDescent="0.25">
      <c r="C109" s="1"/>
      <c r="D109" s="1"/>
      <c r="E109" s="1"/>
      <c r="F109" s="1"/>
      <c r="G109" s="1" t="str">
        <f ca="1">"The apple "&amp;H91&amp;" took contains…"</f>
        <v>The apple Josh took contains…</v>
      </c>
      <c r="H109" s="1"/>
      <c r="I109" s="1"/>
    </row>
    <row r="110" spans="1:9" x14ac:dyDescent="0.25">
      <c r="A110" t="str">
        <f ca="1">INDEX(B105:B108,MATCH(1,A105:A108,0))</f>
        <v>Cameron</v>
      </c>
      <c r="B110" t="str">
        <f ca="1">A110&amp;IF(A111="","",IF(A112=""," and ",", "))</f>
        <v xml:space="preserve">Cameron and </v>
      </c>
      <c r="D110" s="4" t="str">
        <f>G20</f>
        <v>Paul</v>
      </c>
      <c r="E110" s="1"/>
      <c r="F110" s="1"/>
      <c r="G110" s="1" t="str">
        <f ca="1">E104</f>
        <v>Nomination</v>
      </c>
      <c r="H110" s="1"/>
      <c r="I110" s="1"/>
    </row>
    <row r="111" spans="1:9" x14ac:dyDescent="0.25">
      <c r="A111" t="str">
        <f ca="1">IF(COUNTIF(A105:A108,2)=1,INDEX(B105:B108,MATCH(2,A105:A108,0)),"")</f>
        <v>Cody</v>
      </c>
      <c r="B111" t="str">
        <f ca="1">A111&amp;IF(A112="","",IF(A113=""," and ",", "))</f>
        <v>Cody</v>
      </c>
      <c r="C111" s="4" t="str">
        <f>Sheet4!A2</f>
        <v>Alex</v>
      </c>
      <c r="D111" s="4">
        <f ca="1">INDEX(Sheet4!B2:R2,MATCH(Game!G20,Sheet4!B1:R1,0))</f>
        <v>9.0531646568378896</v>
      </c>
      <c r="E111" s="1"/>
      <c r="F111" s="1"/>
      <c r="G111" s="1" t="str">
        <f ca="1">IF(G110="Nomination",H91&amp;" is nominated",H91&amp;" is safe")</f>
        <v>Josh is nominated</v>
      </c>
      <c r="H111" s="1"/>
      <c r="I111" s="1"/>
    </row>
    <row r="112" spans="1:9" x14ac:dyDescent="0.25">
      <c r="A112" t="str">
        <f ca="1">IF(COUNTIF(A105:A108,3)=1,INDEX(B105:B108,MATCH(3,A105:A108,0)),"")</f>
        <v/>
      </c>
      <c r="B112" t="str">
        <f ca="1">A112&amp;IF(A113="",""," and ")</f>
        <v/>
      </c>
      <c r="C112" s="4" t="str">
        <f>Sheet4!A3</f>
        <v>Cameron</v>
      </c>
      <c r="D112" s="4">
        <f ca="1">INDEX(Sheet4!B3:R3,MATCH(Game!$G$20,Sheet4!$B$1:$R$1,0))</f>
        <v>10.126848194985453</v>
      </c>
      <c r="E112" s="1"/>
      <c r="F112" s="1"/>
      <c r="G112" s="1"/>
      <c r="H112" s="1"/>
      <c r="I112" s="1"/>
    </row>
    <row r="113" spans="1:9" x14ac:dyDescent="0.25">
      <c r="A113" t="str">
        <f ca="1">IF(COUNTIF(A105:A108,4)=1,INDEX(B105:B108,MATCH(4,A105:A108,0)),"")</f>
        <v/>
      </c>
      <c r="B113" t="str">
        <f ca="1">A113</f>
        <v/>
      </c>
      <c r="C113" s="4" t="str">
        <f>Sheet4!A4</f>
        <v>Christmas</v>
      </c>
      <c r="D113" s="4">
        <f ca="1">INDEX(Sheet4!B4:R4,MATCH(Game!$G$20,Sheet4!$B$1:$R$1,0))</f>
        <v>53.29140447056318</v>
      </c>
      <c r="E113" s="1"/>
      <c r="F113" s="1" t="str">
        <f ca="1">"The apple "&amp;H92&amp;" took contains…"</f>
        <v>The apple Dominique took contains…</v>
      </c>
      <c r="G113" t="str">
        <f ca="1">IF(E114=3,"",F113)</f>
        <v>The apple Dominique took contains…</v>
      </c>
      <c r="H113" s="1"/>
      <c r="I113" s="1"/>
    </row>
    <row r="114" spans="1:9" x14ac:dyDescent="0.25">
      <c r="B114" t="str">
        <f ca="1">B110&amp;B111&amp;B112&amp;B113</f>
        <v>Cameron and Cody</v>
      </c>
      <c r="C114" s="4" t="str">
        <f>Sheet4!A5</f>
        <v>Cody</v>
      </c>
      <c r="D114" s="4">
        <f ca="1">INDEX(Sheet4!B5:R5,MATCH(Game!$G$20,Sheet4!$B$1:$R$1,0))</f>
        <v>29.125927884074365</v>
      </c>
      <c r="E114" s="1">
        <f ca="1">COUNTIF($G$102:G110,"Nomination")</f>
        <v>1</v>
      </c>
      <c r="F114" s="1" t="str">
        <f ca="1">E105</f>
        <v>Nomination</v>
      </c>
      <c r="G114" t="str">
        <f ca="1">IF(G113="","",F114)</f>
        <v>Nomination</v>
      </c>
      <c r="H114" s="1"/>
      <c r="I114" s="1"/>
    </row>
    <row r="115" spans="1:9" x14ac:dyDescent="0.25">
      <c r="B115" t="str">
        <f ca="1">IF(B111=""," is "," are ")</f>
        <v xml:space="preserve"> are </v>
      </c>
      <c r="C115" s="4" t="str">
        <f>Sheet4!A6</f>
        <v>Dominique</v>
      </c>
      <c r="D115" s="4">
        <f ca="1">INDEX(Sheet4!B6:R6,MATCH(Game!$G$20,Sheet4!$B$1:$R$1,0))</f>
        <v>18.022345252469293</v>
      </c>
      <c r="E115" s="1"/>
      <c r="F115" s="1" t="str">
        <f ca="1">IF(F114="Nomination",H92&amp;" is nominated",H92&amp;" is safe")</f>
        <v>Dominique is nominated</v>
      </c>
      <c r="G115" t="str">
        <f ca="1">IF(G114="","",F115)</f>
        <v>Dominique is nominated</v>
      </c>
      <c r="H115" s="1"/>
      <c r="I115" s="1"/>
    </row>
    <row r="116" spans="1:9" x14ac:dyDescent="0.25">
      <c r="C116" s="4" t="str">
        <f>Sheet4!A7</f>
        <v>Elena</v>
      </c>
      <c r="D116" s="4">
        <f ca="1">INDEX(Sheet4!B7:R7,MATCH(Game!$G$20,Sheet4!$B$1:$R$1,0))</f>
        <v>41.015339216176564</v>
      </c>
      <c r="E116" s="1"/>
      <c r="F116" s="1"/>
      <c r="H116" s="1"/>
      <c r="I116" s="1"/>
    </row>
    <row r="117" spans="1:9" x14ac:dyDescent="0.25">
      <c r="C117" s="4" t="str">
        <f>Sheet4!A8</f>
        <v>Jason</v>
      </c>
      <c r="D117" s="4">
        <f ca="1">INDEX(Sheet4!B8:R8,MATCH(Game!$G$20,Sheet4!$B$1:$R$1,0))</f>
        <v>42.41311274915639</v>
      </c>
      <c r="E117" s="1"/>
      <c r="F117" s="1" t="str">
        <f ca="1">"The apple "&amp;H93&amp;" took contains…"</f>
        <v>The apple Elena took contains…</v>
      </c>
      <c r="G117" t="str">
        <f ca="1">IF(E118=3,"",IF(E118=0,"",F117))</f>
        <v>The apple Elena took contains…</v>
      </c>
      <c r="H117" s="1"/>
      <c r="I117" s="1"/>
    </row>
    <row r="118" spans="1:9" x14ac:dyDescent="0.25">
      <c r="C118" s="4" t="str">
        <f>Sheet4!A9</f>
        <v>Jessica</v>
      </c>
      <c r="D118" s="4">
        <f ca="1">INDEX(Sheet4!B9:R9,MATCH(Game!$G$20,Sheet4!$B$1:$R$1,0))</f>
        <v>50.053327478035513</v>
      </c>
      <c r="E118" s="1">
        <f ca="1">COUNTIF($G$102:G114,"Nomination")</f>
        <v>2</v>
      </c>
      <c r="F118" s="1" t="str">
        <f ca="1">E106</f>
        <v>Nomination</v>
      </c>
      <c r="G118" t="str">
        <f ca="1">IF(G117="","",F118)</f>
        <v>Nomination</v>
      </c>
      <c r="H118" s="1"/>
      <c r="I118" s="1"/>
    </row>
    <row r="119" spans="1:9" x14ac:dyDescent="0.25">
      <c r="C119" s="4" t="str">
        <f>Sheet4!A10</f>
        <v>Jillian</v>
      </c>
      <c r="D119" s="4">
        <f ca="1">INDEX(Sheet4!B10:R10,MATCH(Game!$G$20,Sheet4!$B$1:$R$1,0))</f>
        <v>77.05886219496287</v>
      </c>
      <c r="E119" s="1"/>
      <c r="F119" s="1" t="str">
        <f ca="1">IF(F118="Nomination",H93&amp;" is nominated",H93&amp;" is safe")</f>
        <v>Elena is nominated</v>
      </c>
      <c r="G119" t="str">
        <f ca="1">IF(G118="","",F119)</f>
        <v>Elena is nominated</v>
      </c>
      <c r="H119" s="1"/>
      <c r="I119" s="1"/>
    </row>
    <row r="120" spans="1:9" x14ac:dyDescent="0.25">
      <c r="C120" s="4" t="str">
        <f>Sheet4!A11</f>
        <v>Josh</v>
      </c>
      <c r="D120" s="4">
        <f ca="1">INDEX(Sheet4!B11:R11,MATCH(Game!$G$20,Sheet4!$B$1:$R$1,0))</f>
        <v>12.100603246962368</v>
      </c>
      <c r="E120" s="1"/>
      <c r="F120" s="1"/>
      <c r="H120" s="1"/>
      <c r="I120" s="1"/>
    </row>
    <row r="121" spans="1:9" x14ac:dyDescent="0.25">
      <c r="C121" s="4" t="str">
        <f>Sheet4!A12</f>
        <v>Kevin</v>
      </c>
      <c r="D121" s="4">
        <f ca="1">INDEX(Sheet4!B12:R12,MATCH(Game!$G$20,Sheet4!$B$1:$R$1,0))</f>
        <v>50.352507955622592</v>
      </c>
      <c r="E121" s="1"/>
      <c r="F121" s="1" t="str">
        <f ca="1">"The apple "&amp;H94&amp;" took contains…"</f>
        <v>The apple Cody took contains…</v>
      </c>
      <c r="G121" t="str">
        <f ca="1">IF(E122=3,"",IF(E122&lt;=1,"",F121))</f>
        <v/>
      </c>
      <c r="H121" s="1"/>
      <c r="I121" s="1"/>
    </row>
    <row r="122" spans="1:9" x14ac:dyDescent="0.25">
      <c r="C122" s="4" t="str">
        <f>Sheet4!A13</f>
        <v>Mark</v>
      </c>
      <c r="D122" s="4">
        <f ca="1">INDEX(Sheet4!B13:R13,MATCH(Game!$G$20,Sheet4!$B$1:$R$1,0))</f>
        <v>33.124008590904644</v>
      </c>
      <c r="E122" s="1">
        <f ca="1">COUNTIF($G$102:G118,"Nomination")</f>
        <v>3</v>
      </c>
      <c r="F122" s="1" t="str">
        <f ca="1">E107</f>
        <v>Safety</v>
      </c>
      <c r="G122" t="str">
        <f t="shared" ref="G122:G123" ca="1" si="11">IF(G121="","",F122)</f>
        <v/>
      </c>
      <c r="H122" s="1"/>
      <c r="I122" s="1"/>
    </row>
    <row r="123" spans="1:9" x14ac:dyDescent="0.25">
      <c r="C123" s="4" t="str">
        <f>Sheet4!A14</f>
        <v>Matt</v>
      </c>
      <c r="D123" s="4">
        <f ca="1">INDEX(Sheet4!B14:R14,MATCH(Game!$G$20,Sheet4!$B$1:$R$1,0))</f>
        <v>67.088670351686758</v>
      </c>
      <c r="E123" s="1"/>
      <c r="F123" s="1" t="str">
        <f ca="1">IF(F122="Nomination",H94&amp;" is nominated",H94&amp;" is safe")</f>
        <v>Cody is safe</v>
      </c>
      <c r="G123" t="str">
        <f t="shared" ca="1" si="11"/>
        <v/>
      </c>
      <c r="H123" s="1"/>
      <c r="I123" s="1"/>
    </row>
    <row r="124" spans="1:9" x14ac:dyDescent="0.25">
      <c r="C124" s="4" t="str">
        <f>Sheet4!A15</f>
        <v>Megan</v>
      </c>
      <c r="D124" s="4">
        <f ca="1">INDEX(Sheet4!B15:R15,MATCH(Game!$G$20,Sheet4!$B$1:$R$1,0))</f>
        <v>77.085964602047639</v>
      </c>
      <c r="E124" s="1"/>
      <c r="F124" s="1"/>
      <c r="G124" s="1"/>
      <c r="H124" s="1"/>
      <c r="I124" s="1"/>
    </row>
    <row r="125" spans="1:9" x14ac:dyDescent="0.25">
      <c r="C125" s="4" t="str">
        <f>Sheet4!A16</f>
        <v>Paul</v>
      </c>
      <c r="D125" s="4">
        <f>INDEX(Sheet4!B16:R16,MATCH(Game!$G$20,Sheet4!$B$1:$R$1,0))</f>
        <v>101</v>
      </c>
      <c r="E125" s="1"/>
      <c r="F125" s="1"/>
      <c r="G125" s="1" t="str">
        <f ca="1">"By default, "&amp;B114&amp;B115&amp;IF(E108="Safety","Safe","Nominated")</f>
        <v>By default, Cameron and Cody are Safe</v>
      </c>
      <c r="H125" s="1"/>
      <c r="I125" s="1"/>
    </row>
    <row r="126" spans="1:9" x14ac:dyDescent="0.25">
      <c r="C126" s="4" t="str">
        <f>Sheet4!A17</f>
        <v>Ramses</v>
      </c>
      <c r="D126" s="4">
        <f ca="1">INDEX(Sheet4!B17:R17,MATCH(Game!$G$20,Sheet4!$B$1:$R$1,0))</f>
        <v>73.374904379002274</v>
      </c>
      <c r="E126" s="1"/>
      <c r="F126" s="1"/>
      <c r="G126" s="1"/>
      <c r="H126" s="1"/>
      <c r="I126" s="1"/>
    </row>
    <row r="127" spans="1:9" x14ac:dyDescent="0.25">
      <c r="C127" s="4" t="str">
        <f>Sheet4!A18</f>
        <v>Raven</v>
      </c>
      <c r="D127" s="4">
        <f ca="1">INDEX(Sheet4!B18:R18,MATCH(Game!$G$20,Sheet4!$B$1:$R$1,0))</f>
        <v>3.2624021588646253</v>
      </c>
      <c r="E127" s="1"/>
      <c r="F127" s="1"/>
      <c r="G127" s="2" t="s">
        <v>23</v>
      </c>
      <c r="H127" s="1"/>
      <c r="I127" s="1"/>
    </row>
    <row r="128" spans="1:9" x14ac:dyDescent="0.25">
      <c r="C128" s="1"/>
      <c r="D128" s="1"/>
      <c r="E128" s="1">
        <f ca="1">RAND()</f>
        <v>0.67745088220844873</v>
      </c>
      <c r="F128" s="1" t="str">
        <f ca="1">INDEX(D102:D108,MATCH(5,C102:C108,0))</f>
        <v>Dominique</v>
      </c>
      <c r="G128" s="1" t="str">
        <f ca="1">F128&amp;", "&amp;F129&amp;" and "&amp;F130&amp;" are nominated"</f>
        <v>Dominique, Elena and Josh are nominated</v>
      </c>
      <c r="H128" s="1"/>
      <c r="I128" s="1"/>
    </row>
    <row r="129" spans="3:12" x14ac:dyDescent="0.25">
      <c r="C129" s="1"/>
      <c r="D129" s="1"/>
      <c r="E129" s="1">
        <f ca="1">RAND()</f>
        <v>8.266781982242144E-2</v>
      </c>
      <c r="F129" s="1" t="str">
        <f ca="1">INDEX(D102:D108,MATCH(6,C102:C108,0))</f>
        <v>Elena</v>
      </c>
      <c r="G129" s="1" t="s">
        <v>57</v>
      </c>
      <c r="H129" s="1"/>
      <c r="I129" s="1"/>
    </row>
    <row r="130" spans="3:12" x14ac:dyDescent="0.25">
      <c r="C130" s="1"/>
      <c r="D130" s="1"/>
      <c r="E130" s="1">
        <f ca="1">RAND()</f>
        <v>0.28989112292598629</v>
      </c>
      <c r="F130" s="1" t="str">
        <f ca="1">INDEX(D102:D108,MATCH(7,C102:C108,0))</f>
        <v>Josh</v>
      </c>
      <c r="G130" s="1" t="s">
        <v>58</v>
      </c>
      <c r="H130" s="1"/>
      <c r="I130" s="1"/>
    </row>
    <row r="131" spans="3:12" x14ac:dyDescent="0.25">
      <c r="C131" s="1"/>
      <c r="D131" s="1"/>
      <c r="E131" s="1"/>
      <c r="F131" s="1"/>
      <c r="G131" s="1"/>
      <c r="H131" s="1"/>
      <c r="I131" s="1"/>
    </row>
    <row r="132" spans="3:12" x14ac:dyDescent="0.25">
      <c r="C132" s="1">
        <f ca="1">RAND()</f>
        <v>0.42523699229119283</v>
      </c>
      <c r="D132" s="1"/>
      <c r="E132" s="1"/>
      <c r="F132" s="1" t="str">
        <f ca="1">INDEX(F128:F130,RANK(E128,E128:E130))</f>
        <v>Dominique</v>
      </c>
      <c r="G132" s="1" t="str">
        <f ca="1">F132&amp;"-"</f>
        <v>Dominique-</v>
      </c>
      <c r="H132" s="1" t="str">
        <f ca="1">IF(RANDBETWEEN(1,2)=1,"Comp","Vote")</f>
        <v>Comp</v>
      </c>
      <c r="I132" s="1"/>
    </row>
    <row r="133" spans="3:12" x14ac:dyDescent="0.25">
      <c r="C133" s="1">
        <f ca="1">RAND()</f>
        <v>0.66354713536200638</v>
      </c>
      <c r="D133" s="1" t="s">
        <v>59</v>
      </c>
      <c r="E133" s="1">
        <f ca="1">COUNTIF(H132:H134,D133)</f>
        <v>2</v>
      </c>
      <c r="F133" s="1" t="str">
        <f ca="1">INDEX(F128:F130,RANK(E129,E128:E130))</f>
        <v>Josh</v>
      </c>
      <c r="G133" s="1" t="str">
        <f ca="1">F133&amp;"-"</f>
        <v>Josh-</v>
      </c>
      <c r="H133" s="1" t="str">
        <f ca="1">IF(RANDBETWEEN(1,2)=1,"Comp","Vote")</f>
        <v>Comp</v>
      </c>
      <c r="I133" s="1"/>
    </row>
    <row r="134" spans="3:12" x14ac:dyDescent="0.25">
      <c r="C134" s="1">
        <f ca="1">RAND()</f>
        <v>0.7672548071789923</v>
      </c>
      <c r="D134" s="1" t="s">
        <v>60</v>
      </c>
      <c r="E134" s="1">
        <f ca="1">COUNTIF(H132:H134,D134)</f>
        <v>1</v>
      </c>
      <c r="F134" s="1" t="str">
        <f ca="1">INDEX(F128:F130,RANK(E130,E128:E130))</f>
        <v>Elena</v>
      </c>
      <c r="G134" s="1" t="str">
        <f ca="1">F134&amp;"-"</f>
        <v>Elena-</v>
      </c>
      <c r="H134" s="1" t="str">
        <f ca="1">IF(RANDBETWEEN(1,2)=1,"Comp","Vote")</f>
        <v>Vote</v>
      </c>
      <c r="I134" s="1"/>
    </row>
    <row r="135" spans="3:12" x14ac:dyDescent="0.25">
      <c r="C135" s="1" t="str">
        <f ca="1">IF(F128=G143,F129,F128)</f>
        <v>Dominique</v>
      </c>
      <c r="D135" s="1"/>
      <c r="E135" s="1"/>
      <c r="F135" s="1"/>
      <c r="G135" s="1"/>
      <c r="H135" s="1"/>
      <c r="I135" s="1"/>
    </row>
    <row r="136" spans="3:12" x14ac:dyDescent="0.25">
      <c r="C136" s="1" t="str">
        <f ca="1">IF(C135=F129,F130,IF(F129=G143,F130,F129))</f>
        <v>Josh</v>
      </c>
      <c r="D136" s="1"/>
      <c r="E136" s="1"/>
      <c r="F136" s="1"/>
      <c r="G136" s="1" t="str">
        <f ca="1">"By a vote of "&amp;LARGE(E133:E134,1)&amp;"-"&amp;LARGE(E133:E134,2)</f>
        <v>By a vote of 2-1</v>
      </c>
      <c r="H136" s="1"/>
      <c r="I136" s="1"/>
    </row>
    <row r="137" spans="3:12" x14ac:dyDescent="0.25">
      <c r="C137" s="1"/>
      <c r="D137" s="1"/>
      <c r="E137" s="1"/>
      <c r="F137" s="1"/>
      <c r="G137" s="1" t="str">
        <f ca="1">"They will be having an Eviction "&amp;INDEX(D133:D134,MATCH(LARGE(E133:E134,1),E133:E134,0))</f>
        <v>They will be having an Eviction Comp</v>
      </c>
      <c r="H137" s="1"/>
      <c r="I137" s="1"/>
    </row>
    <row r="139" spans="3:12" x14ac:dyDescent="0.25">
      <c r="C139" s="1"/>
      <c r="D139" s="1"/>
      <c r="E139" s="1"/>
      <c r="F139" s="1" t="str">
        <f ca="1">INDEX(D133:D134,MATCH(LARGE(E133:E134,1),E133:E134,0))</f>
        <v>Comp</v>
      </c>
      <c r="G139" s="2" t="str">
        <f ca="1">"Eviction "&amp;INDEX(D133:D134,MATCH(LARGE(E133:E134,1),E133:E134,0))&amp;"-"</f>
        <v>Eviction Comp-</v>
      </c>
      <c r="H139" s="1"/>
      <c r="I139" s="1"/>
      <c r="J139" s="1"/>
      <c r="K139" s="1"/>
      <c r="L139" s="1"/>
    </row>
    <row r="140" spans="3:12" x14ac:dyDescent="0.25">
      <c r="C140" s="1"/>
      <c r="D140" s="1"/>
      <c r="E140" s="1"/>
      <c r="F140" s="1" t="str">
        <f>G20</f>
        <v>Paul</v>
      </c>
      <c r="G140" s="14" t="str">
        <f ca="1">F128</f>
        <v>Dominique</v>
      </c>
      <c r="H140" s="14" t="str">
        <f ca="1">F129</f>
        <v>Elena</v>
      </c>
      <c r="I140" s="14" t="str">
        <f ca="1">F130</f>
        <v>Josh</v>
      </c>
      <c r="J140" s="1"/>
      <c r="K140" s="1"/>
      <c r="L140" s="1"/>
    </row>
    <row r="141" spans="3:12" x14ac:dyDescent="0.25">
      <c r="C141" s="1"/>
      <c r="D141" s="1"/>
      <c r="E141" s="1"/>
      <c r="F141" s="1"/>
      <c r="G141" s="1"/>
      <c r="H141" s="1"/>
      <c r="I141" s="1"/>
      <c r="J141" s="1"/>
      <c r="K141" s="1"/>
      <c r="L141" s="1"/>
    </row>
    <row r="142" spans="3:12" x14ac:dyDescent="0.25">
      <c r="C142" s="1" t="str">
        <f t="shared" ref="C142:C157" si="12">G2</f>
        <v>Alex</v>
      </c>
      <c r="D142" s="1">
        <f t="shared" ref="D142:D157" ca="1" si="13">IF(COUNTIF($F$140:$I$140,C142)=1,"",RAND())</f>
        <v>0.7119132078231023</v>
      </c>
      <c r="E142" s="1" t="str">
        <f ca="1">INDEX(C142:C157,MATCH(SMALL(D142:D157,1),D142:D157,0))</f>
        <v>Kevin</v>
      </c>
      <c r="F142" s="1">
        <f ca="1">RANDBETWEEN(1,3)</f>
        <v>1</v>
      </c>
      <c r="G142" s="1" t="str">
        <f ca="1">IF($F$139="Vote",E142&amp;"-","First Place-")</f>
        <v>First Place-</v>
      </c>
      <c r="H142" s="1" t="str">
        <f ca="1">IF($F$139="Vote",IF($I$26="On",INDEX(Sheet4!$B$46:$R$46,MATCH(E142,Sheet4!$B$42:$R$42,0)),IF(F142=1,$G$140,IF(F142=2,$H$140,$I$140))),"")</f>
        <v/>
      </c>
      <c r="I142" s="1"/>
      <c r="J142" s="1"/>
      <c r="K142" s="1"/>
      <c r="L142" s="1"/>
    </row>
    <row r="143" spans="3:12" x14ac:dyDescent="0.25">
      <c r="C143" s="1" t="str">
        <f t="shared" si="12"/>
        <v>Cameron</v>
      </c>
      <c r="D143" s="1">
        <f t="shared" ca="1" si="13"/>
        <v>0.27404847281053579</v>
      </c>
      <c r="E143" s="1" t="str">
        <f ca="1">INDEX(C142:C157,MATCH(SMALL(D142:D157,2),D142:D157,0))</f>
        <v>Raven</v>
      </c>
      <c r="F143" s="1">
        <f t="shared" ref="F143:F154" ca="1" si="14">RANDBETWEEN(1,3)</f>
        <v>3</v>
      </c>
      <c r="G143" s="1" t="str">
        <f ca="1">IF($F$139="Vote",E143&amp;"-",INDEX(F132:F134,RANK(C132,C132:C134)))</f>
        <v>Elena</v>
      </c>
      <c r="H143" s="1" t="str">
        <f ca="1">IF($F$139="Vote",IF($I$26="On",INDEX(Sheet4!$B$46:$R$46,MATCH(E143,Sheet4!$B$42:$R$42,0)),IF(F143=1,$G$140,IF(F143=2,$H$140,$I$140))),"")</f>
        <v/>
      </c>
      <c r="I143" s="1"/>
      <c r="J143" s="1"/>
      <c r="K143" s="1"/>
      <c r="L143" s="1"/>
    </row>
    <row r="144" spans="3:12" x14ac:dyDescent="0.25">
      <c r="C144" s="1" t="str">
        <f t="shared" si="12"/>
        <v>Christmas</v>
      </c>
      <c r="D144" s="1">
        <f t="shared" ca="1" si="13"/>
        <v>0.65075709181240426</v>
      </c>
      <c r="E144" s="1" t="str">
        <f ca="1">INDEX(C142:C157,MATCH(SMALL(D142:D157,3),D142:D157,0))</f>
        <v>Mark</v>
      </c>
      <c r="F144" s="1">
        <f t="shared" ca="1" si="14"/>
        <v>3</v>
      </c>
      <c r="G144" s="1" t="str">
        <f ca="1">IF($F$139="Vote",E144&amp;"-","")</f>
        <v/>
      </c>
      <c r="H144" s="1" t="str">
        <f ca="1">IF($F$139="Vote",IF($I$26="On",INDEX(Sheet4!$B$46:$R$46,MATCH(E144,Sheet4!$B$42:$R$42,0)),IF(F144=1,$G$140,IF(F144=2,$H$140,$I$140))),"")</f>
        <v/>
      </c>
      <c r="I144" s="1"/>
      <c r="J144" s="1"/>
      <c r="K144" s="1"/>
      <c r="L144" s="1"/>
    </row>
    <row r="145" spans="3:12" x14ac:dyDescent="0.25">
      <c r="C145" s="1" t="str">
        <f t="shared" si="12"/>
        <v>Cody</v>
      </c>
      <c r="D145" s="1">
        <f t="shared" ca="1" si="13"/>
        <v>0.98419817749816041</v>
      </c>
      <c r="E145" s="1" t="str">
        <f ca="1">INDEX(C142:C157,MATCH(SMALL(D142:D157,4),D142:D157,0))</f>
        <v>Cameron</v>
      </c>
      <c r="F145" s="1">
        <f t="shared" ca="1" si="14"/>
        <v>2</v>
      </c>
      <c r="G145" s="15" t="str">
        <f ca="1">IF($F$139="Vote",E145&amp;"-","Down to 2")</f>
        <v>Down to 2</v>
      </c>
      <c r="H145" s="1" t="str">
        <f ca="1">IF($F$139="Vote",IF($I$26="On",INDEX(Sheet4!$B$46:$R$46,MATCH(E145,Sheet4!$B$42:$R$42,0)),IF(F145=1,$G$140,IF(F145=2,$H$140,$I$140))),"")</f>
        <v/>
      </c>
      <c r="I145" s="1"/>
      <c r="J145" s="1"/>
      <c r="K145" s="1"/>
      <c r="L145" s="1"/>
    </row>
    <row r="146" spans="3:12" x14ac:dyDescent="0.25">
      <c r="C146" s="1" t="str">
        <f t="shared" si="12"/>
        <v>Dominique</v>
      </c>
      <c r="D146" s="1" t="str">
        <f t="shared" ca="1" si="13"/>
        <v/>
      </c>
      <c r="E146" s="1" t="str">
        <f ca="1">INDEX(C142:C157,MATCH(SMALL(D142:D157,5),D142:D157,0))</f>
        <v>Jessica</v>
      </c>
      <c r="F146" s="1">
        <f t="shared" ca="1" si="14"/>
        <v>2</v>
      </c>
      <c r="G146" s="1" t="str">
        <f ca="1">IF($F$139="Vote",E146&amp;"-","")</f>
        <v/>
      </c>
      <c r="H146" s="1" t="str">
        <f ca="1">IF($F$139="Vote",IF($I$26="On",INDEX(Sheet4!$B$46:$R$46,MATCH(E146,Sheet4!$B$42:$R$42,0)),IF(F146=1,$G$140,IF(F146=2,$H$140,$I$140))),"")</f>
        <v/>
      </c>
      <c r="I146" s="1"/>
      <c r="J146" s="1"/>
      <c r="K146" s="1"/>
      <c r="L146" s="1"/>
    </row>
    <row r="147" spans="3:12" x14ac:dyDescent="0.25">
      <c r="C147" s="1" t="str">
        <f t="shared" si="12"/>
        <v>Elena</v>
      </c>
      <c r="D147" s="1" t="str">
        <f t="shared" ca="1" si="13"/>
        <v/>
      </c>
      <c r="E147" s="1" t="str">
        <f ca="1">INDEX(C142:C157,MATCH(SMALL(D142:D157,6),D142:D157,0))</f>
        <v>Jillian</v>
      </c>
      <c r="F147" s="1">
        <f t="shared" ca="1" si="14"/>
        <v>3</v>
      </c>
      <c r="G147" s="1" t="str">
        <f ca="1">IF($F$139="Vote",E147&amp;"-","Second-")</f>
        <v>Second-</v>
      </c>
      <c r="H147" s="1" t="str">
        <f ca="1">IF($F$139="Vote",IF($I$26="On",INDEX(Sheet4!$B$46:$R$46,MATCH(E147,Sheet4!$B$42:$R$42,0)),IF(F147=1,$G$140,IF(F147=2,$H$140,$I$140))),"")</f>
        <v/>
      </c>
      <c r="I147" s="1"/>
      <c r="J147" s="1"/>
      <c r="K147" s="1"/>
      <c r="L147" s="1"/>
    </row>
    <row r="148" spans="3:12" x14ac:dyDescent="0.25">
      <c r="C148" s="1" t="str">
        <f t="shared" si="12"/>
        <v>Jason</v>
      </c>
      <c r="D148" s="1">
        <f t="shared" ca="1" si="13"/>
        <v>0.62453480678965367</v>
      </c>
      <c r="E148" s="1" t="str">
        <f ca="1">INDEX(C142:C157,MATCH(SMALL(D142:D157,7),D142:D157,0))</f>
        <v>Ramses</v>
      </c>
      <c r="F148" s="1">
        <f t="shared" ca="1" si="14"/>
        <v>3</v>
      </c>
      <c r="G148" s="1" t="str">
        <f ca="1">IF($F$139="Vote",E148&amp;"-",INDEX(F132:F134,RANK(C133,C132:C134)))</f>
        <v>Josh</v>
      </c>
      <c r="H148" s="1" t="str">
        <f ca="1">IF($F$139="Vote",IF($I$26="On",INDEX(Sheet4!$B$46:$R$46,MATCH(E148,Sheet4!$B$42:$R$42,0)),IF(F148=1,$G$140,IF(F148=2,$H$140,$I$140))),"")</f>
        <v/>
      </c>
      <c r="I148" s="1"/>
      <c r="J148" s="1"/>
      <c r="K148" s="1"/>
      <c r="L148" s="1"/>
    </row>
    <row r="149" spans="3:12" x14ac:dyDescent="0.25">
      <c r="C149" s="1" t="str">
        <f t="shared" si="12"/>
        <v>Jessica</v>
      </c>
      <c r="D149" s="1">
        <f t="shared" ca="1" si="13"/>
        <v>0.28248258492506295</v>
      </c>
      <c r="E149" s="1" t="str">
        <f ca="1">INDEX(C142:C157,MATCH(SMALL(D142:D157,8),D142:D157,0))</f>
        <v>Jason</v>
      </c>
      <c r="F149" s="1">
        <f t="shared" ca="1" si="14"/>
        <v>3</v>
      </c>
      <c r="G149" s="1" t="str">
        <f ca="1">IF($F$139="Vote",E149&amp;"-","")</f>
        <v/>
      </c>
      <c r="H149" s="1" t="str">
        <f ca="1">IF($F$139="Vote",IF($I$26="On",INDEX(Sheet4!$B$46:$R$46,MATCH(E149,Sheet4!$B$42:$R$42,0)),IF(F149=1,$G$140,IF(F149=2,$H$140,$I$140))),"")</f>
        <v/>
      </c>
      <c r="I149" s="1"/>
      <c r="J149" s="1"/>
      <c r="K149" s="1"/>
      <c r="L149" s="1"/>
    </row>
    <row r="150" spans="3:12" x14ac:dyDescent="0.25">
      <c r="C150" s="1" t="str">
        <f t="shared" si="12"/>
        <v>Jillian</v>
      </c>
      <c r="D150" s="1">
        <f t="shared" ca="1" si="13"/>
        <v>0.38742402896295025</v>
      </c>
      <c r="E150" s="1" t="str">
        <f ca="1">INDEX(C142:C157,MATCH(SMALL(D142:D157,9),D142:D157,0))</f>
        <v>Christmas</v>
      </c>
      <c r="F150" s="1">
        <f t="shared" ca="1" si="14"/>
        <v>2</v>
      </c>
      <c r="G150" s="1" t="str">
        <f ca="1">IF($F$139="Vote",E150&amp;"-","Third-")</f>
        <v>Third-</v>
      </c>
      <c r="H150" s="1" t="str">
        <f ca="1">IF($F$139="Vote",IF($I$26="On",INDEX(Sheet4!$B$46:$R$46,MATCH(E150,Sheet4!$B$42:$R$42,0)),IF(F150=1,$G$140,IF(F150=2,$H$140,$I$140))),"")</f>
        <v/>
      </c>
      <c r="I150" s="1"/>
      <c r="J150" s="1"/>
      <c r="K150" s="1"/>
      <c r="L150" s="1"/>
    </row>
    <row r="151" spans="3:12" x14ac:dyDescent="0.25">
      <c r="C151" s="1" t="str">
        <f t="shared" si="12"/>
        <v>Josh</v>
      </c>
      <c r="D151" s="1" t="str">
        <f t="shared" ca="1" si="13"/>
        <v/>
      </c>
      <c r="E151" s="1" t="str">
        <f ca="1">INDEX(C142:C157,MATCH(SMALL(D142:D157,10),D142:D157,0))</f>
        <v>Matt</v>
      </c>
      <c r="F151" s="1">
        <f t="shared" ca="1" si="14"/>
        <v>3</v>
      </c>
      <c r="G151" s="1" t="str">
        <f ca="1">IF($F$139="Vote",E151&amp;"-",INDEX(F132:F134,RANK(C134,C132:C134)))</f>
        <v>Dominique</v>
      </c>
      <c r="H151" s="1" t="str">
        <f ca="1">IF($F$139="Vote",IF($I$26="On",INDEX(Sheet4!$B$46:$R$46,MATCH(E151,Sheet4!$B$42:$R$42,0)),IF(F151=1,$G$140,IF(F151=2,$H$140,$I$140))),"")</f>
        <v/>
      </c>
      <c r="I151" s="1"/>
      <c r="J151" s="1"/>
      <c r="K151" s="1"/>
      <c r="L151" s="1"/>
    </row>
    <row r="152" spans="3:12" x14ac:dyDescent="0.25">
      <c r="C152" s="1" t="str">
        <f t="shared" si="12"/>
        <v>Kevin</v>
      </c>
      <c r="D152" s="1">
        <f t="shared" ca="1" si="13"/>
        <v>8.0174810855706879E-2</v>
      </c>
      <c r="E152" s="1" t="str">
        <f ca="1">INDEX(C142:C157,MATCH(SMALL(D142:D157,11),D142:D157,0))</f>
        <v>Alex</v>
      </c>
      <c r="F152" s="1">
        <f t="shared" ca="1" si="14"/>
        <v>1</v>
      </c>
      <c r="G152" s="1" t="str">
        <f ca="1">IF($F$139="Vote",E152&amp;"-","")</f>
        <v/>
      </c>
      <c r="H152" s="1" t="str">
        <f ca="1">IF($F$139="Vote",IF($I$26="On",INDEX(Sheet4!$B$46:$R$46,MATCH(E152,Sheet4!$B$42:$R$42,0)),IF(F152=1,$G$140,IF(F152=2,$H$140,$I$140))),"")</f>
        <v/>
      </c>
      <c r="I152" s="1"/>
      <c r="J152" s="1"/>
      <c r="K152" s="1"/>
      <c r="L152" s="1"/>
    </row>
    <row r="153" spans="3:12" x14ac:dyDescent="0.25">
      <c r="C153" s="1" t="str">
        <f t="shared" si="12"/>
        <v>Mark</v>
      </c>
      <c r="D153" s="1">
        <f t="shared" ca="1" si="13"/>
        <v>0.22047072410056923</v>
      </c>
      <c r="E153" s="1" t="str">
        <f ca="1">INDEX(C142:C157,MATCH(SMALL(D142:D157,12),D142:D157,0))</f>
        <v>Megan</v>
      </c>
      <c r="F153" s="1">
        <f t="shared" ca="1" si="14"/>
        <v>3</v>
      </c>
      <c r="G153" s="1" t="str">
        <f ca="1">IF($F$139="Vote",E153&amp;"-","")</f>
        <v/>
      </c>
      <c r="H153" s="1" t="str">
        <f ca="1">IF($F$139="Vote",IF($I$26="On",INDEX(Sheet4!$B$46:$R$46,MATCH(E153,Sheet4!$B$42:$R$42,0)),IF(F153=1,$G$140,IF(F153=2,$H$140,$I$140))),"")</f>
        <v/>
      </c>
      <c r="I153" s="1"/>
      <c r="J153" s="1"/>
      <c r="K153" s="1"/>
      <c r="L153" s="1"/>
    </row>
    <row r="154" spans="3:12" x14ac:dyDescent="0.25">
      <c r="C154" s="1" t="str">
        <f t="shared" si="12"/>
        <v>Matt</v>
      </c>
      <c r="D154" s="1">
        <f t="shared" ca="1" si="13"/>
        <v>0.69605920045985537</v>
      </c>
      <c r="E154" s="1" t="str">
        <f ca="1">INDEX(C142:C157,MATCH(SMALL(D142:D157,13),D142:D157,0))</f>
        <v>Cody</v>
      </c>
      <c r="F154" s="1">
        <f t="shared" ca="1" si="14"/>
        <v>2</v>
      </c>
      <c r="G154" s="1" t="str">
        <f ca="1">IF($F$139="Vote",E154&amp;"-","")</f>
        <v/>
      </c>
      <c r="H154" s="1" t="str">
        <f ca="1">IF($F$139="Vote",IF($I$26="On",INDEX(Sheet4!$B$46:$R$46,MATCH(E154,Sheet4!$B$42:$R$42,0)),IF(F154=1,$G$140,IF(F154=2,$H$140,$I$140))),"")</f>
        <v/>
      </c>
      <c r="I154" s="1"/>
      <c r="J154" s="1"/>
      <c r="K154" s="1"/>
      <c r="L154" s="1"/>
    </row>
    <row r="155" spans="3:12" x14ac:dyDescent="0.25">
      <c r="C155" s="1" t="str">
        <f t="shared" si="12"/>
        <v>Megan</v>
      </c>
      <c r="D155" s="1">
        <f t="shared" ca="1" si="13"/>
        <v>0.8819928740762536</v>
      </c>
      <c r="E155" s="1" t="str">
        <f>G20</f>
        <v>Paul</v>
      </c>
      <c r="F155" s="1"/>
      <c r="G155" s="1"/>
      <c r="H155" s="1"/>
      <c r="I155" s="1"/>
      <c r="J155" s="1"/>
      <c r="K155" s="1"/>
      <c r="L155" s="1"/>
    </row>
    <row r="156" spans="3:12" x14ac:dyDescent="0.25">
      <c r="C156" s="1" t="str">
        <f t="shared" si="12"/>
        <v>Ramses</v>
      </c>
      <c r="D156" s="1">
        <f t="shared" ca="1" si="13"/>
        <v>0.42332832775325435</v>
      </c>
      <c r="E156" s="1"/>
      <c r="F156" s="1"/>
      <c r="G156" s="1" t="str">
        <f ca="1">IF(D161&gt;=2,"It's a tie!","")</f>
        <v/>
      </c>
      <c r="H156" s="1"/>
      <c r="I156" s="1"/>
      <c r="J156" s="1"/>
      <c r="K156" s="1"/>
      <c r="L156" s="1"/>
    </row>
    <row r="157" spans="3:12" x14ac:dyDescent="0.25">
      <c r="C157" s="1" t="str">
        <f t="shared" si="12"/>
        <v>Raven</v>
      </c>
      <c r="D157" s="1">
        <f t="shared" ca="1" si="13"/>
        <v>0.21149216298924534</v>
      </c>
      <c r="E157" s="1"/>
      <c r="F157" s="1"/>
      <c r="G157" s="1" t="str">
        <f ca="1">IF(G156="","",F140&amp;" will break the tie")</f>
        <v/>
      </c>
      <c r="H157" s="1"/>
      <c r="I157" s="1"/>
      <c r="J157" s="1"/>
      <c r="K157" s="1"/>
      <c r="L157" s="1"/>
    </row>
    <row r="158" spans="3:12" x14ac:dyDescent="0.25">
      <c r="C158" s="1" t="str">
        <f ca="1">G140</f>
        <v>Dominique</v>
      </c>
      <c r="D158" s="1">
        <f ca="1">COUNTIF($H$142:$H$154,C158)</f>
        <v>0</v>
      </c>
      <c r="E158" s="1">
        <f ca="1">IF($I$26="On",D158+INDEX($D$111:$D$127,MATCH(C158,$C$111:$C$127,0))/100,D158+(RAND()/2.2))</f>
        <v>0.18022345252469293</v>
      </c>
      <c r="F158" s="1"/>
      <c r="G158" s="1" t="str">
        <f ca="1">IF(G157="","",F140&amp;"-")</f>
        <v/>
      </c>
      <c r="H158" s="1" t="str">
        <f ca="1">IF(G158="","",INDEX(C158:C160,MATCH(LARGE(E158:E160,1),E158:E160,0)))</f>
        <v/>
      </c>
      <c r="I158" s="1"/>
      <c r="J158" s="1"/>
      <c r="K158" s="1"/>
      <c r="L158" s="1"/>
    </row>
    <row r="159" spans="3:12" x14ac:dyDescent="0.25">
      <c r="C159" s="1" t="str">
        <f ca="1">H140</f>
        <v>Elena</v>
      </c>
      <c r="D159" s="1">
        <f ca="1">COUNTIF($H$142:$H$154,C159)</f>
        <v>0</v>
      </c>
      <c r="E159" s="1">
        <f ca="1">IF($I$26="On",D159+INDEX($D$111:$D$127,MATCH(C159,$C$111:$C$127,0))/100,D159+(RAND()/2.2))</f>
        <v>0.41015339216176566</v>
      </c>
      <c r="F159" s="1"/>
      <c r="G159" s="1"/>
      <c r="H159" s="1"/>
      <c r="I159" s="1"/>
      <c r="J159" s="1"/>
      <c r="K159" s="1"/>
      <c r="L159" s="1"/>
    </row>
    <row r="160" spans="3:12" x14ac:dyDescent="0.25">
      <c r="C160" s="1" t="str">
        <f ca="1">I140</f>
        <v>Josh</v>
      </c>
      <c r="D160" s="1">
        <f ca="1">COUNTIF($H$142:$H$154,C160)</f>
        <v>0</v>
      </c>
      <c r="E160" s="1">
        <f ca="1">IF($I$26="On",D160+INDEX($D$111:$D$127,MATCH(C160,$C$111:$C$127,0))/100,D160+(RAND()/2.2))</f>
        <v>0.12100603246962369</v>
      </c>
      <c r="F160" s="1"/>
      <c r="G160" s="1" t="str">
        <f ca="1">IF(F139="Vote","With "&amp;IF(SMALL(D162:D164,1)=1,"1 vote",(SMALL(D162:D164,1))&amp;" votes"),"For coming first in the comp…")</f>
        <v>For coming first in the comp…</v>
      </c>
      <c r="H160" s="1"/>
      <c r="I160" s="1"/>
      <c r="J160" s="1"/>
      <c r="K160" s="1"/>
      <c r="L160" s="1"/>
    </row>
    <row r="161" spans="3:12" x14ac:dyDescent="0.25">
      <c r="C161" s="1"/>
      <c r="D161" s="1">
        <f ca="1">IF(COUNTIF(D158:D160,0)=3,1,COUNTIF(D158:D160,LARGE(D158:D160,1)))</f>
        <v>1</v>
      </c>
      <c r="E161" s="1"/>
      <c r="F161" s="1"/>
      <c r="G161" s="1" t="str">
        <f ca="1">IF(F139="Vote",INDEX(C162:C164,MATCH(SMALL(E162:E164,1),E162:E164,0)),G143)</f>
        <v>Elena</v>
      </c>
      <c r="H161" s="1"/>
      <c r="I161" s="1"/>
      <c r="J161" s="1"/>
      <c r="K161" s="1"/>
      <c r="L161" s="1"/>
    </row>
    <row r="162" spans="3:12" x14ac:dyDescent="0.25">
      <c r="C162" s="1" t="str">
        <f ca="1">C158</f>
        <v>Dominique</v>
      </c>
      <c r="D162" s="1">
        <f ca="1">COUNTIF($H$142:$H$158,C162)</f>
        <v>0</v>
      </c>
      <c r="E162" s="1">
        <f ca="1">D162+(RAND()/2.2)</f>
        <v>0.12168091843871191</v>
      </c>
      <c r="F162" s="1"/>
      <c r="G162" s="1" t="s">
        <v>61</v>
      </c>
      <c r="H162" s="1"/>
      <c r="I162" s="1"/>
      <c r="J162" s="1"/>
      <c r="K162" s="1"/>
      <c r="L162" s="1"/>
    </row>
    <row r="163" spans="3:12" x14ac:dyDescent="0.25">
      <c r="C163" s="1" t="str">
        <f ca="1">C159</f>
        <v>Elena</v>
      </c>
      <c r="D163" s="1">
        <f ca="1">COUNTIF($H$142:$H$158,C163)</f>
        <v>0</v>
      </c>
      <c r="E163" s="1">
        <f ca="1">D163+(RAND()/2.2)</f>
        <v>0.27954364261477155</v>
      </c>
      <c r="F163" s="1"/>
      <c r="G163" s="1"/>
      <c r="H163" s="1"/>
      <c r="I163" s="1"/>
      <c r="J163" s="1"/>
      <c r="K163" s="1"/>
      <c r="L163" s="1"/>
    </row>
    <row r="164" spans="3:12" x14ac:dyDescent="0.25">
      <c r="C164" s="1" t="str">
        <f ca="1">C160</f>
        <v>Josh</v>
      </c>
      <c r="D164" s="1">
        <f ca="1">COUNTIF($H$142:$H$158,C164)</f>
        <v>0</v>
      </c>
      <c r="E164" s="1">
        <f ca="1">D164+(RAND()/2.2)</f>
        <v>0.41404843012609444</v>
      </c>
      <c r="F164" s="1"/>
      <c r="G164" s="1" t="str">
        <f ca="1">IF(F139="Vote","By a vote of "&amp;LARGE(D162:D164,1)&amp;"-"&amp;LARGE(D162:D164,2),"For coming last in the comp…")</f>
        <v>For coming last in the comp…</v>
      </c>
      <c r="H164" s="1"/>
      <c r="I164" s="1"/>
      <c r="J164" s="1"/>
      <c r="K164" s="1"/>
      <c r="L164" s="1"/>
    </row>
    <row r="165" spans="3:12" x14ac:dyDescent="0.25">
      <c r="C165" s="1"/>
      <c r="D165" s="1"/>
      <c r="E165" s="1"/>
      <c r="F165" s="1"/>
      <c r="G165" s="1" t="str">
        <f ca="1">IF(F139="Vote",INDEX(C162:C164,MATCH(LARGE(E162:E164,1),E162:E164,0)),G151)</f>
        <v>Dominique</v>
      </c>
      <c r="H165" s="1"/>
      <c r="I165" s="1"/>
      <c r="J165" s="1"/>
      <c r="K165" s="1"/>
      <c r="L165" s="1"/>
    </row>
    <row r="166" spans="3:12" x14ac:dyDescent="0.25">
      <c r="C166" s="1"/>
      <c r="D166" s="1"/>
      <c r="E166" s="1"/>
      <c r="F166" s="1"/>
      <c r="G166" s="1" t="s">
        <v>62</v>
      </c>
      <c r="H166" s="1"/>
      <c r="I166" s="1"/>
      <c r="J166" s="1"/>
      <c r="K166" s="1"/>
      <c r="L166" s="1"/>
    </row>
    <row r="167" spans="3:12" x14ac:dyDescent="0.25">
      <c r="C167" s="1"/>
      <c r="D167" s="1"/>
      <c r="E167" s="1"/>
      <c r="F167" s="1"/>
      <c r="G167" s="1"/>
      <c r="H167" s="1"/>
      <c r="I167" s="1"/>
      <c r="J167" s="1"/>
      <c r="K167" s="1"/>
      <c r="L167" s="1"/>
    </row>
    <row r="168" spans="3:12" x14ac:dyDescent="0.25">
      <c r="C168" s="1"/>
      <c r="D168" s="1"/>
      <c r="E168" s="1"/>
      <c r="F168" s="1"/>
      <c r="G168" s="1" t="str">
        <f ca="1">IF(F139="Vote",LARGE(D162:D164,1)&amp;"-"&amp;LARGE(D162:D164,2)&amp;"-"&amp;LARGE(D162:D164,3),"")</f>
        <v/>
      </c>
      <c r="H168" s="1"/>
      <c r="I168" s="1"/>
      <c r="J168" s="1"/>
      <c r="K168" s="1"/>
      <c r="L168" s="1"/>
    </row>
    <row r="169" spans="3:12" x14ac:dyDescent="0.25">
      <c r="C169" s="1"/>
      <c r="D169" s="1"/>
      <c r="E169" s="1"/>
      <c r="F169" s="1"/>
      <c r="G169" s="1"/>
      <c r="H169" s="1"/>
      <c r="I169" s="1"/>
      <c r="J169" s="1"/>
      <c r="K169" s="1"/>
      <c r="L169" s="1"/>
    </row>
    <row r="170" spans="3:12" x14ac:dyDescent="0.25">
      <c r="C170" s="1" t="str">
        <f ca="1">IF(G2=G165,G3,G2)</f>
        <v>Alex</v>
      </c>
      <c r="D170" s="1">
        <f t="shared" ref="D170:D185" ca="1" si="15">COUNTIF($C$170:$C$185,"&lt;="&amp;C170)</f>
        <v>1</v>
      </c>
      <c r="E170" s="1">
        <f ca="1">RAND()</f>
        <v>0.28918239819047808</v>
      </c>
      <c r="F170" s="1"/>
      <c r="G170" s="2" t="s">
        <v>63</v>
      </c>
    </row>
    <row r="171" spans="3:12" x14ac:dyDescent="0.25">
      <c r="C171" s="1" t="str">
        <f t="shared" ref="C171:C184" ca="1" si="16">IF(C170=G3,G4,IF(G3=$G$165,G4,G3))</f>
        <v>Cameron</v>
      </c>
      <c r="D171" s="1">
        <f t="shared" ca="1" si="15"/>
        <v>2</v>
      </c>
      <c r="E171" s="1">
        <f t="shared" ref="E171:E185" ca="1" si="17">RAND()</f>
        <v>0.28887502765546613</v>
      </c>
      <c r="F171" s="1"/>
      <c r="G171" s="16" t="str">
        <f ca="1">INDEX(C170:C185,MATCH(1,D170:D185,0))</f>
        <v>Alex</v>
      </c>
      <c r="H171" s="16" t="str">
        <f ca="1">INDEX(C170:C185,MATCH(2,D170:D185,0))</f>
        <v>Cameron</v>
      </c>
      <c r="I171" s="16" t="str">
        <f ca="1">INDEX(C170:C185,MATCH(3,D170:D185,0))</f>
        <v>Christmas</v>
      </c>
      <c r="J171" s="16" t="str">
        <f ca="1">INDEX(C170:C185,MATCH(4,D170:D185,0))</f>
        <v>Cody</v>
      </c>
      <c r="K171" s="16" t="str">
        <f ca="1">INDEX(C170:C185,MATCH(5,D170:D185,0))</f>
        <v>Elena</v>
      </c>
      <c r="L171" s="1"/>
    </row>
    <row r="172" spans="3:12" x14ac:dyDescent="0.25">
      <c r="C172" s="1" t="str">
        <f t="shared" ca="1" si="16"/>
        <v>Christmas</v>
      </c>
      <c r="D172" s="1">
        <f t="shared" ca="1" si="15"/>
        <v>3</v>
      </c>
      <c r="E172" s="1">
        <f t="shared" ca="1" si="17"/>
        <v>0.18884941304450698</v>
      </c>
      <c r="F172" s="1"/>
      <c r="G172" s="17"/>
      <c r="H172" s="17"/>
      <c r="I172" s="17"/>
      <c r="J172" s="17"/>
      <c r="K172" s="17"/>
      <c r="L172" s="1"/>
    </row>
    <row r="173" spans="3:12" x14ac:dyDescent="0.25">
      <c r="C173" s="1" t="str">
        <f t="shared" ca="1" si="16"/>
        <v>Cody</v>
      </c>
      <c r="D173" s="1">
        <f t="shared" ca="1" si="15"/>
        <v>4</v>
      </c>
      <c r="E173" s="1">
        <f t="shared" ca="1" si="17"/>
        <v>0.5642065413416173</v>
      </c>
      <c r="F173" s="1"/>
      <c r="G173" s="18"/>
      <c r="H173" s="18"/>
      <c r="I173" s="18"/>
      <c r="J173" s="18"/>
      <c r="K173" s="18"/>
      <c r="L173" s="1"/>
    </row>
    <row r="174" spans="3:12" x14ac:dyDescent="0.25">
      <c r="C174" s="1" t="str">
        <f t="shared" ca="1" si="16"/>
        <v>Elena</v>
      </c>
      <c r="D174" s="1">
        <f t="shared" ca="1" si="15"/>
        <v>5</v>
      </c>
      <c r="E174" s="1">
        <f t="shared" ca="1" si="17"/>
        <v>0.40116816304498015</v>
      </c>
      <c r="F174" s="1"/>
      <c r="G174" s="16" t="str">
        <f ca="1">INDEX(C170:C185,MATCH(6,D170:D185,0))</f>
        <v>Jason</v>
      </c>
      <c r="H174" s="16" t="str">
        <f ca="1">INDEX(C170:C185,MATCH(7,D170:D185,0))</f>
        <v>Jessica</v>
      </c>
      <c r="I174" s="16" t="str">
        <f ca="1">INDEX(C170:C185,MATCH(8,D170:D185,0))</f>
        <v>Jillian</v>
      </c>
      <c r="J174" s="16" t="str">
        <f ca="1">INDEX(C170:C185,MATCH(9,D170:D185,0))</f>
        <v>Josh</v>
      </c>
      <c r="K174" s="16" t="str">
        <f ca="1">INDEX(C170:C185,MATCH(10,D170:D185,0))</f>
        <v>Kevin</v>
      </c>
      <c r="L174" s="16" t="str">
        <f ca="1">INDEX(C170:C185,MATCH(11,D170:D185,0))</f>
        <v>Mark</v>
      </c>
    </row>
    <row r="175" spans="3:12" x14ac:dyDescent="0.25">
      <c r="C175" s="1" t="str">
        <f t="shared" ca="1" si="16"/>
        <v>Jason</v>
      </c>
      <c r="D175" s="1">
        <f t="shared" ca="1" si="15"/>
        <v>6</v>
      </c>
      <c r="E175" s="1">
        <f t="shared" ca="1" si="17"/>
        <v>0.84929717187211184</v>
      </c>
      <c r="F175" s="1"/>
      <c r="G175" s="17"/>
      <c r="H175" s="17"/>
      <c r="I175" s="17"/>
      <c r="J175" s="17"/>
      <c r="K175" s="17"/>
      <c r="L175" s="17"/>
    </row>
    <row r="176" spans="3:12" x14ac:dyDescent="0.25">
      <c r="C176" s="1" t="str">
        <f t="shared" ca="1" si="16"/>
        <v>Jessica</v>
      </c>
      <c r="D176" s="1">
        <f t="shared" ca="1" si="15"/>
        <v>7</v>
      </c>
      <c r="E176" s="1">
        <f t="shared" ca="1" si="17"/>
        <v>0.35165390406245234</v>
      </c>
      <c r="F176" s="1"/>
      <c r="G176" s="18"/>
      <c r="H176" s="18"/>
      <c r="I176" s="18"/>
      <c r="J176" s="18"/>
      <c r="K176" s="18"/>
      <c r="L176" s="18"/>
    </row>
    <row r="177" spans="3:12" x14ac:dyDescent="0.25">
      <c r="C177" s="1" t="str">
        <f t="shared" ca="1" si="16"/>
        <v>Jillian</v>
      </c>
      <c r="D177" s="1">
        <f t="shared" ca="1" si="15"/>
        <v>8</v>
      </c>
      <c r="E177" s="1">
        <f t="shared" ca="1" si="17"/>
        <v>0.91806246703325656</v>
      </c>
      <c r="F177" s="1"/>
      <c r="G177" s="16" t="str">
        <f ca="1">INDEX(C170:C185,MATCH(12,D170:D185,0))</f>
        <v>Matt</v>
      </c>
      <c r="H177" s="16" t="str">
        <f ca="1">INDEX(C170:C185,MATCH(13,D170:D185,0))</f>
        <v>Megan</v>
      </c>
      <c r="I177" s="16" t="str">
        <f ca="1">INDEX(C170:C185,MATCH(14,D170:D185,0))</f>
        <v>Paul</v>
      </c>
      <c r="J177" s="16" t="str">
        <f ca="1">INDEX(C170:C185,MATCH(15,D170:D185,0))</f>
        <v>Ramses</v>
      </c>
      <c r="K177" s="16" t="str">
        <f ca="1">INDEX(C170:C185,MATCH(16,D170:D185,0))</f>
        <v>Raven</v>
      </c>
      <c r="L177" s="19" t="str">
        <f ca="1">G165</f>
        <v>Dominique</v>
      </c>
    </row>
    <row r="178" spans="3:12" x14ac:dyDescent="0.25">
      <c r="C178" s="1" t="str">
        <f t="shared" ca="1" si="16"/>
        <v>Josh</v>
      </c>
      <c r="D178" s="1">
        <f t="shared" ca="1" si="15"/>
        <v>9</v>
      </c>
      <c r="E178" s="1">
        <f t="shared" ca="1" si="17"/>
        <v>9.618099536014646E-2</v>
      </c>
      <c r="F178" s="1"/>
      <c r="G178" s="17"/>
      <c r="H178" s="17"/>
      <c r="I178" s="17"/>
      <c r="J178" s="17"/>
      <c r="K178" s="17"/>
      <c r="L178" s="20"/>
    </row>
    <row r="179" spans="3:12" x14ac:dyDescent="0.25">
      <c r="C179" s="1" t="str">
        <f t="shared" ca="1" si="16"/>
        <v>Kevin</v>
      </c>
      <c r="D179" s="1">
        <f t="shared" ca="1" si="15"/>
        <v>10</v>
      </c>
      <c r="E179" s="1">
        <f t="shared" ca="1" si="17"/>
        <v>0.27159543922367291</v>
      </c>
      <c r="G179" s="18"/>
      <c r="H179" s="18"/>
      <c r="I179" s="18"/>
      <c r="J179" s="18"/>
      <c r="K179" s="18"/>
      <c r="L179" s="21"/>
    </row>
    <row r="180" spans="3:12" x14ac:dyDescent="0.25">
      <c r="C180" s="1" t="str">
        <f t="shared" ca="1" si="16"/>
        <v>Mark</v>
      </c>
      <c r="D180" s="1">
        <f t="shared" ca="1" si="15"/>
        <v>11</v>
      </c>
      <c r="E180" s="1">
        <f t="shared" ca="1" si="17"/>
        <v>0.84821887634338222</v>
      </c>
    </row>
    <row r="181" spans="3:12" x14ac:dyDescent="0.25">
      <c r="C181" s="1" t="str">
        <f t="shared" ca="1" si="16"/>
        <v>Matt</v>
      </c>
      <c r="D181" s="1">
        <f t="shared" ca="1" si="15"/>
        <v>12</v>
      </c>
      <c r="E181" s="1">
        <f t="shared" ca="1" si="17"/>
        <v>0.29377782431205479</v>
      </c>
      <c r="G181" s="2" t="s">
        <v>65</v>
      </c>
      <c r="H181" s="1"/>
      <c r="I181" s="1"/>
      <c r="J181" s="1"/>
      <c r="K181" s="1"/>
    </row>
    <row r="182" spans="3:12" x14ac:dyDescent="0.25">
      <c r="C182" s="1" t="str">
        <f t="shared" ca="1" si="16"/>
        <v>Megan</v>
      </c>
      <c r="D182" s="1">
        <f t="shared" ca="1" si="15"/>
        <v>13</v>
      </c>
      <c r="E182" s="1">
        <f t="shared" ca="1" si="17"/>
        <v>0.59852340766112833</v>
      </c>
      <c r="G182" s="1" t="s">
        <v>66</v>
      </c>
      <c r="H182" s="1"/>
      <c r="I182" s="1"/>
      <c r="J182" s="1"/>
      <c r="K182" s="1"/>
    </row>
    <row r="183" spans="3:12" x14ac:dyDescent="0.25">
      <c r="C183" s="1" t="str">
        <f t="shared" ca="1" si="16"/>
        <v>Ramses</v>
      </c>
      <c r="D183" s="1">
        <f t="shared" ca="1" si="15"/>
        <v>15</v>
      </c>
      <c r="E183" s="1">
        <f t="shared" ca="1" si="17"/>
        <v>0.40375418316606526</v>
      </c>
      <c r="G183" s="1" t="s">
        <v>67</v>
      </c>
      <c r="H183" s="1"/>
      <c r="I183" s="1"/>
      <c r="J183" s="1"/>
      <c r="K183" s="1"/>
    </row>
    <row r="184" spans="3:12" x14ac:dyDescent="0.25">
      <c r="C184" s="1" t="str">
        <f t="shared" ca="1" si="16"/>
        <v>Raven</v>
      </c>
      <c r="D184" s="1">
        <f t="shared" ca="1" si="15"/>
        <v>16</v>
      </c>
      <c r="E184" s="1">
        <f t="shared" ca="1" si="17"/>
        <v>0.3076552606755496</v>
      </c>
      <c r="G184" s="1" t="s">
        <v>68</v>
      </c>
      <c r="H184" s="1"/>
      <c r="I184" s="1"/>
      <c r="J184" s="1"/>
      <c r="K184" s="1"/>
    </row>
    <row r="185" spans="3:12" x14ac:dyDescent="0.25">
      <c r="C185" s="1" t="str">
        <f>G20</f>
        <v>Paul</v>
      </c>
      <c r="D185" s="1">
        <f t="shared" ca="1" si="15"/>
        <v>14</v>
      </c>
      <c r="E185" s="1">
        <f t="shared" ca="1" si="17"/>
        <v>3.4277248050562648E-4</v>
      </c>
      <c r="G185" s="1" t="s">
        <v>69</v>
      </c>
      <c r="H185" s="1"/>
      <c r="I185" s="1"/>
      <c r="J185" s="1"/>
      <c r="K185" s="1"/>
    </row>
    <row r="186" spans="3:12" x14ac:dyDescent="0.25">
      <c r="G186" s="1" t="s">
        <v>70</v>
      </c>
      <c r="H186" s="1"/>
      <c r="I186" s="1"/>
      <c r="J186" s="1"/>
      <c r="K186" s="1"/>
    </row>
    <row r="187" spans="3:12" x14ac:dyDescent="0.25">
      <c r="K187" s="1"/>
    </row>
    <row r="188" spans="3:12" x14ac:dyDescent="0.25">
      <c r="G188" s="22" t="s">
        <v>71</v>
      </c>
      <c r="H188" s="22" t="s">
        <v>72</v>
      </c>
      <c r="I188" s="22" t="s">
        <v>73</v>
      </c>
      <c r="J188" s="23" t="s">
        <v>74</v>
      </c>
      <c r="K188" s="1"/>
    </row>
    <row r="189" spans="3:12" x14ac:dyDescent="0.25">
      <c r="G189" s="24" t="str">
        <f ca="1">INDEX(C170:C185,RANK(E170,E170:E185))</f>
        <v>Mark</v>
      </c>
      <c r="H189" s="24" t="str">
        <f ca="1">INDEX(C170:C185,RANK(E174,E170:E185))</f>
        <v>Jessica</v>
      </c>
      <c r="I189" s="24" t="str">
        <f ca="1">INDEX(C170:C185,RANK(E178,E170:E185))</f>
        <v>Raven</v>
      </c>
      <c r="J189" s="25" t="str">
        <f ca="1">INDEX(C170:C185,RANK(E182,E170:E185))</f>
        <v>Cody</v>
      </c>
      <c r="K189" s="1"/>
    </row>
    <row r="190" spans="3:12" x14ac:dyDescent="0.25">
      <c r="G190" s="24" t="str">
        <f ca="1">INDEX(C170:C185,RANK(E171,E170:E185))</f>
        <v>Matt</v>
      </c>
      <c r="H190" s="24" t="str">
        <f ca="1">INDEX(C170:C185,RANK(E175,E170:E185))</f>
        <v>Cameron</v>
      </c>
      <c r="I190" s="24" t="str">
        <f ca="1">INDEX(C170:C185,RANK(E179,E170:E185))</f>
        <v>Megan</v>
      </c>
      <c r="J190" s="25" t="str">
        <f ca="1">INDEX(C170:C185,RANK(E183,E170:E185))</f>
        <v>Jason</v>
      </c>
      <c r="K190" s="1"/>
    </row>
    <row r="191" spans="3:12" x14ac:dyDescent="0.25">
      <c r="G191" s="24" t="str">
        <f ca="1">INDEX(C170:C185,RANK(E172,E170:E185))</f>
        <v>Ramses</v>
      </c>
      <c r="H191" s="24" t="str">
        <f ca="1">INDEX(C170:C185,RANK(E176,E170:E185))</f>
        <v>Jillian</v>
      </c>
      <c r="I191" s="24" t="str">
        <f ca="1">INDEX(C170:C185,RANK(E180,E170:E185))</f>
        <v>Christmas</v>
      </c>
      <c r="J191" s="25" t="str">
        <f ca="1">INDEX(C170:C185,RANK(E184,E170:E185))</f>
        <v>Josh</v>
      </c>
      <c r="K191" s="1"/>
    </row>
    <row r="192" spans="3:12" x14ac:dyDescent="0.25">
      <c r="G192" s="26" t="str">
        <f ca="1">INDEX(C170:C185,RANK(E173,E170:E185))</f>
        <v>Elena</v>
      </c>
      <c r="H192" s="26" t="str">
        <f ca="1">INDEX(C170:C185,RANK(E177,E170:E185))</f>
        <v>Alex</v>
      </c>
      <c r="I192" s="26" t="str">
        <f ca="1">INDEX(C170:C185,RANK(E181,E170:E185))</f>
        <v>Kevin</v>
      </c>
      <c r="J192" s="27" t="str">
        <f ca="1">INDEX(C170:C185,RANK(E185,E170:E185))</f>
        <v>Paul</v>
      </c>
      <c r="K192" s="1"/>
    </row>
    <row r="194" spans="3:11" x14ac:dyDescent="0.25">
      <c r="C194" s="1">
        <v>1</v>
      </c>
      <c r="D194" s="1">
        <f ca="1">IF(C194=F197,C195,C194)</f>
        <v>2</v>
      </c>
      <c r="E194" s="1">
        <f ca="1">RAND()</f>
        <v>0.98127998723980525</v>
      </c>
      <c r="F194" s="1"/>
      <c r="G194" s="1" t="s">
        <v>75</v>
      </c>
      <c r="H194" s="1"/>
      <c r="I194" s="1"/>
      <c r="J194" s="1"/>
      <c r="K194" s="1"/>
    </row>
    <row r="195" spans="3:11" x14ac:dyDescent="0.25">
      <c r="C195" s="1">
        <v>2</v>
      </c>
      <c r="D195" s="1">
        <f ca="1">IF(D194=C195,C196,IF(C195=$F$197,C196,C195))</f>
        <v>3</v>
      </c>
      <c r="E195" s="1">
        <f ca="1">RAND()</f>
        <v>0.76339983755095719</v>
      </c>
      <c r="F195" s="1">
        <f ca="1">RANDBETWEEN(1,16)</f>
        <v>12</v>
      </c>
      <c r="G195" s="1" t="str">
        <f ca="1">INDEX(C170:C185,MATCH(F195,D170:D185,0))</f>
        <v>Matt</v>
      </c>
      <c r="H195" s="1"/>
      <c r="I195" s="1"/>
      <c r="J195" s="1"/>
      <c r="K195" s="1"/>
    </row>
    <row r="196" spans="3:11" x14ac:dyDescent="0.25">
      <c r="C196" s="1">
        <v>3</v>
      </c>
      <c r="D196" s="1">
        <f ca="1">IF(D195=C196,C197,IF(C196=$F$197,C197,C196))</f>
        <v>4</v>
      </c>
      <c r="E196" s="1">
        <f ca="1">RAND()</f>
        <v>0.3650230359834451</v>
      </c>
      <c r="F196" s="1"/>
      <c r="G196" s="1"/>
      <c r="H196" s="1"/>
      <c r="I196" s="1"/>
      <c r="J196" s="1"/>
      <c r="K196" s="1"/>
    </row>
    <row r="197" spans="3:11" x14ac:dyDescent="0.25">
      <c r="C197" s="1">
        <v>4</v>
      </c>
      <c r="D197" s="1"/>
      <c r="E197" s="1"/>
      <c r="F197" s="1">
        <f ca="1">IF(COUNTIF(G188:G192,G195)=1,1,IF(COUNTIF(H188:H192,G195)=1,2,IF(COUNTIF(I188:I192,G195)=1,3,4)))</f>
        <v>1</v>
      </c>
      <c r="G197" s="1" t="str">
        <f ca="1">G195&amp;" is immune for the week, and team "&amp;IF(COUNTIF(G188:G192,G195)=1,1,IF(COUNTIF(H188:H192,G195)=1,2,IF(COUNTIF(I188:I192,G195)=1,3,4)))&amp;" is eliminated from the competition"</f>
        <v>Matt is immune for the week, and team 1 is eliminated from the competition</v>
      </c>
      <c r="H197" s="1"/>
      <c r="I197" s="1"/>
      <c r="J197" s="1"/>
      <c r="K197" s="1"/>
    </row>
    <row r="198" spans="3:11" x14ac:dyDescent="0.25">
      <c r="C198" s="1"/>
      <c r="D198" s="1"/>
      <c r="E198" s="1"/>
      <c r="F198" s="1"/>
      <c r="G198" s="1"/>
      <c r="H198" s="1"/>
      <c r="I198" s="1"/>
      <c r="J198" s="1"/>
      <c r="K198" s="1"/>
    </row>
    <row r="199" spans="3:11" x14ac:dyDescent="0.25">
      <c r="C199" s="1"/>
      <c r="D199" s="1"/>
      <c r="E199" s="1"/>
      <c r="F199" s="1"/>
      <c r="G199" s="1" t="s">
        <v>76</v>
      </c>
      <c r="H199" s="1"/>
      <c r="I199" s="1"/>
      <c r="J199" s="1"/>
      <c r="K199" s="1"/>
    </row>
    <row r="200" spans="3:11" x14ac:dyDescent="0.25">
      <c r="C200" s="1"/>
      <c r="D200" s="1"/>
      <c r="E200" s="1">
        <f ca="1">SMALL(F200:F201,1)</f>
        <v>2</v>
      </c>
      <c r="F200" s="1">
        <f ca="1">INDEX(D194:D196,MATCH(LARGE(E194:E196,1),E194:E196,0))</f>
        <v>2</v>
      </c>
      <c r="G200" s="1" t="str">
        <f ca="1">"Team "&amp;F200</f>
        <v>Team 2</v>
      </c>
      <c r="H200" s="1"/>
      <c r="I200" s="1"/>
      <c r="J200" s="1"/>
      <c r="K200" s="1"/>
    </row>
    <row r="201" spans="3:11" x14ac:dyDescent="0.25">
      <c r="C201" s="1"/>
      <c r="D201" s="1"/>
      <c r="E201" s="1">
        <f ca="1">SMALL(F200:F201,2)</f>
        <v>3</v>
      </c>
      <c r="F201" s="1">
        <f ca="1">INDEX(D194:D196,MATCH(LARGE(E194:E196,2),E194:E196,0))</f>
        <v>3</v>
      </c>
      <c r="G201" s="1" t="s">
        <v>77</v>
      </c>
      <c r="H201" s="1"/>
      <c r="I201" s="1"/>
      <c r="J201" s="1"/>
      <c r="K201" s="1"/>
    </row>
    <row r="202" spans="3:11" x14ac:dyDescent="0.25">
      <c r="C202" s="1"/>
      <c r="D202" s="1"/>
      <c r="E202" s="1"/>
      <c r="F202" s="1"/>
      <c r="G202" s="1" t="str">
        <f ca="1">"Team "&amp;F201</f>
        <v>Team 3</v>
      </c>
      <c r="H202" s="1"/>
      <c r="I202" s="1"/>
      <c r="J202" s="1"/>
      <c r="K202" s="1"/>
    </row>
    <row r="203" spans="3:11" x14ac:dyDescent="0.25">
      <c r="C203" s="1"/>
      <c r="D203" s="1"/>
      <c r="E203" s="1"/>
      <c r="F203" s="1"/>
      <c r="G203" s="1"/>
      <c r="H203" s="1"/>
      <c r="I203" s="1"/>
      <c r="J203" s="1"/>
      <c r="K203" s="1"/>
    </row>
    <row r="204" spans="3:11" x14ac:dyDescent="0.25">
      <c r="C204" s="1"/>
      <c r="D204" s="1"/>
      <c r="E204" s="1"/>
      <c r="F204" s="1"/>
      <c r="G204" s="1" t="str">
        <f ca="1">"That means Team "&amp;INDEX(D194:D196,RANK(E196,E194:E196))&amp;" is eliminated from the competition"</f>
        <v>That means Team 4 is eliminated from the competition</v>
      </c>
      <c r="H204" s="1"/>
      <c r="I204" s="1"/>
      <c r="J204" s="1"/>
      <c r="K204" s="1"/>
    </row>
    <row r="205" spans="3:11" x14ac:dyDescent="0.25">
      <c r="C205" s="1"/>
      <c r="D205" s="1"/>
      <c r="E205" s="1"/>
      <c r="F205" s="1"/>
      <c r="G205" s="1"/>
      <c r="H205" s="1"/>
      <c r="I205" s="1"/>
      <c r="J205" s="1"/>
      <c r="K205" s="1"/>
    </row>
    <row r="206" spans="3:11" x14ac:dyDescent="0.25">
      <c r="C206" s="1"/>
      <c r="D206" s="1"/>
      <c r="F206" s="1"/>
      <c r="G206" s="1" t="s">
        <v>78</v>
      </c>
      <c r="H206" s="1"/>
      <c r="I206" s="1"/>
      <c r="J206" s="1"/>
      <c r="K206" s="1"/>
    </row>
    <row r="207" spans="3:11" x14ac:dyDescent="0.25">
      <c r="C207" s="1"/>
      <c r="D207" s="1"/>
      <c r="F207" s="1"/>
      <c r="G207" s="1" t="str">
        <f ca="1">G200&amp;" and "&amp;G202&amp;" have made the 2nd and final round"</f>
        <v>Team 2 and Team 3 have made the 2nd and final round</v>
      </c>
      <c r="H207" s="1"/>
      <c r="I207" s="1"/>
      <c r="J207" s="1"/>
      <c r="K207" s="1"/>
    </row>
    <row r="208" spans="3:11" x14ac:dyDescent="0.25">
      <c r="C208" s="1"/>
      <c r="D208" s="1"/>
      <c r="E208" s="1"/>
      <c r="F208" s="1"/>
      <c r="G208" s="1"/>
      <c r="H208" s="1"/>
      <c r="I208" s="1"/>
      <c r="J208" s="1"/>
      <c r="K208" s="1"/>
    </row>
    <row r="209" spans="3:11" x14ac:dyDescent="0.25">
      <c r="C209" s="1"/>
      <c r="D209" s="1"/>
      <c r="E209" s="1" t="str">
        <f ca="1">G52</f>
        <v>Alex</v>
      </c>
      <c r="F209" s="1"/>
      <c r="G209" s="22" t="str">
        <f ca="1">"Team "&amp;E200</f>
        <v>Team 2</v>
      </c>
      <c r="H209" s="23" t="str">
        <f ca="1">"Team "&amp;E201</f>
        <v>Team 3</v>
      </c>
      <c r="I209" s="1"/>
      <c r="J209" s="1"/>
      <c r="K209" s="1"/>
    </row>
    <row r="210" spans="3:11" x14ac:dyDescent="0.25">
      <c r="C210" s="1"/>
      <c r="D210" s="1" t="str">
        <f ca="1">"Team "&amp;E200</f>
        <v>Team 2</v>
      </c>
      <c r="E210" s="1">
        <f t="shared" ref="E210:F213" ca="1" si="18">IF($E$209=G210,"",RAND())</f>
        <v>0.148202508990251</v>
      </c>
      <c r="F210" s="1">
        <f t="shared" ca="1" si="18"/>
        <v>0.98769104592794499</v>
      </c>
      <c r="G210" s="24" t="str">
        <f ca="1">INDEX(G189:J189,MATCH($D$210,$G$188:$J$188,0))</f>
        <v>Jessica</v>
      </c>
      <c r="H210" s="24" t="str">
        <f ca="1">INDEX(G189:J189,MATCH($D$211,$G$188:$J$188,0))</f>
        <v>Raven</v>
      </c>
      <c r="I210" s="1"/>
      <c r="J210" s="1"/>
      <c r="K210" s="1"/>
    </row>
    <row r="211" spans="3:11" x14ac:dyDescent="0.25">
      <c r="C211" s="1"/>
      <c r="D211" s="1" t="str">
        <f ca="1">"Team "&amp;E201</f>
        <v>Team 3</v>
      </c>
      <c r="E211" s="1">
        <f t="shared" ca="1" si="18"/>
        <v>0.57479917359048738</v>
      </c>
      <c r="F211" s="1">
        <f t="shared" ca="1" si="18"/>
        <v>0.33923049306832675</v>
      </c>
      <c r="G211" s="24" t="str">
        <f ca="1">INDEX(G190:J190,MATCH($D$210,$G$188:$J$188,0))</f>
        <v>Cameron</v>
      </c>
      <c r="H211" s="24" t="str">
        <f ca="1">INDEX(G190:J190,MATCH($D$211,$G$188:$J$188,0))</f>
        <v>Megan</v>
      </c>
      <c r="I211" s="1"/>
      <c r="J211" s="1"/>
      <c r="K211" s="1"/>
    </row>
    <row r="212" spans="3:11" x14ac:dyDescent="0.25">
      <c r="C212" s="1"/>
      <c r="D212" s="1"/>
      <c r="E212" s="1">
        <f t="shared" ca="1" si="18"/>
        <v>0.76323354146687439</v>
      </c>
      <c r="F212" s="1">
        <f t="shared" ca="1" si="18"/>
        <v>3.417480898111136E-2</v>
      </c>
      <c r="G212" s="24" t="str">
        <f ca="1">INDEX(G191:J191,MATCH($D$210,$G$188:$J$188,0))</f>
        <v>Jillian</v>
      </c>
      <c r="H212" s="24" t="str">
        <f ca="1">INDEX(G191:J191,MATCH($D$211,$G$188:$J$188,0))</f>
        <v>Christmas</v>
      </c>
      <c r="I212" s="1"/>
      <c r="J212" s="1"/>
      <c r="K212" s="1"/>
    </row>
    <row r="213" spans="3:11" x14ac:dyDescent="0.25">
      <c r="C213" s="1" t="str">
        <f ca="1">G225</f>
        <v>Raven</v>
      </c>
      <c r="D213" s="1"/>
      <c r="E213" s="1" t="str">
        <f t="shared" ca="1" si="18"/>
        <v/>
      </c>
      <c r="F213" s="1">
        <f t="shared" ca="1" si="18"/>
        <v>0.12192567695432044</v>
      </c>
      <c r="G213" s="26" t="str">
        <f ca="1">INDEX(G192:J192,MATCH($D$210,$G$188:$J$188,0))</f>
        <v>Alex</v>
      </c>
      <c r="H213" s="26" t="str">
        <f ca="1">INDEX(G192:J192,MATCH($D$211,$G$188:$J$188,0))</f>
        <v>Kevin</v>
      </c>
      <c r="I213" s="1"/>
      <c r="J213" s="1"/>
      <c r="K213" s="1"/>
    </row>
    <row r="214" spans="3:11" x14ac:dyDescent="0.25">
      <c r="C214" s="1" t="str">
        <f ca="1">INDEX(Sheet4!B63:R63,MATCH(Game!$C$213,Sheet4!$B$48:$R$48,0))</f>
        <v>Paul</v>
      </c>
      <c r="D214" t="str">
        <f ca="1">IF(C214=G195,C215,C214)</f>
        <v>Paul</v>
      </c>
      <c r="E214" s="1"/>
      <c r="F214" s="1"/>
      <c r="G214" s="1"/>
      <c r="H214" s="1"/>
      <c r="I214" s="1"/>
      <c r="J214" s="1"/>
      <c r="K214" s="1"/>
    </row>
    <row r="215" spans="3:11" x14ac:dyDescent="0.25">
      <c r="C215" s="1" t="str">
        <f ca="1">INDEX(Sheet4!B62:R62,MATCH(Game!$C$213,Sheet4!$B$48:$R$48,0))</f>
        <v>Kevin</v>
      </c>
      <c r="D215" t="str">
        <f t="shared" ref="D215:D220" ca="1" si="19">IF(D214=C215,C216,IF(C215=$G$195,C216,C215))</f>
        <v>Kevin</v>
      </c>
      <c r="E215" s="1"/>
      <c r="F215" s="1"/>
      <c r="G215" s="1" t="s">
        <v>79</v>
      </c>
      <c r="H215" s="1"/>
      <c r="I215" s="1"/>
      <c r="J215" s="1"/>
      <c r="K215" s="1"/>
    </row>
    <row r="216" spans="3:11" x14ac:dyDescent="0.25">
      <c r="C216" s="1" t="str">
        <f ca="1">INDEX(Sheet4!B61:R61,MATCH(Game!$C$213,Sheet4!$B$48:$R$48,0))</f>
        <v>Megan</v>
      </c>
      <c r="D216" t="str">
        <f t="shared" ca="1" si="19"/>
        <v>Megan</v>
      </c>
      <c r="E216" s="1"/>
      <c r="F216" s="1"/>
      <c r="G216" s="1" t="s">
        <v>80</v>
      </c>
      <c r="H216" s="1"/>
      <c r="I216" s="1"/>
      <c r="J216" s="1"/>
      <c r="K216" s="1"/>
    </row>
    <row r="217" spans="3:11" x14ac:dyDescent="0.25">
      <c r="C217" s="1" t="str">
        <f ca="1">INDEX(Sheet4!B60:R60,MATCH(Game!$C$213,Sheet4!$B$48:$R$48,0))</f>
        <v>Mark</v>
      </c>
      <c r="D217" t="str">
        <f t="shared" ca="1" si="19"/>
        <v>Mark</v>
      </c>
      <c r="E217" s="1"/>
      <c r="F217" s="1"/>
      <c r="G217" s="1" t="s">
        <v>81</v>
      </c>
      <c r="H217" s="1"/>
      <c r="I217" s="1"/>
      <c r="J217" s="1"/>
      <c r="K217" s="1"/>
    </row>
    <row r="218" spans="3:11" x14ac:dyDescent="0.25">
      <c r="C218" s="1" t="str">
        <f ca="1">INDEX(Sheet4!B59:R59,MATCH(Game!$C$213,Sheet4!$B$48:$R$48,0))</f>
        <v>Matt</v>
      </c>
      <c r="D218" t="str">
        <f t="shared" ca="1" si="19"/>
        <v>Josh</v>
      </c>
      <c r="E218" s="1"/>
      <c r="F218" s="1"/>
      <c r="G218" s="1"/>
      <c r="H218" s="1"/>
      <c r="I218" s="1"/>
      <c r="J218" s="1"/>
      <c r="K218" s="1"/>
    </row>
    <row r="219" spans="3:11" x14ac:dyDescent="0.25">
      <c r="C219" s="1" t="str">
        <f ca="1">INDEX(Sheet4!B58:R58,MATCH(Game!$C$213,Sheet4!$B$48:$R$48,0))</f>
        <v>Josh</v>
      </c>
      <c r="D219" t="str">
        <f t="shared" ca="1" si="19"/>
        <v>Jillian</v>
      </c>
      <c r="E219" s="1"/>
      <c r="F219" s="1"/>
      <c r="G219" s="1" t="str">
        <f ca="1">G209&amp;" selects…"</f>
        <v>Team 2 selects…</v>
      </c>
      <c r="H219" s="1"/>
      <c r="I219" s="1"/>
      <c r="J219" s="1"/>
      <c r="K219" s="1"/>
    </row>
    <row r="220" spans="3:11" x14ac:dyDescent="0.25">
      <c r="C220" s="1" t="str">
        <f ca="1">INDEX(Sheet4!B57:R57,MATCH(Game!$C$213,Sheet4!$B$48:$R$48,0))</f>
        <v>Jillian</v>
      </c>
      <c r="D220" t="str">
        <f t="shared" ca="1" si="19"/>
        <v>Jason</v>
      </c>
      <c r="E220" s="1"/>
      <c r="F220" s="1"/>
      <c r="G220" s="1" t="str">
        <f ca="1">INDEX(G210:G213,MATCH(LARGE(E210:E213,1),E210:E213,0))</f>
        <v>Jillian</v>
      </c>
      <c r="H220" s="1"/>
      <c r="I220" s="1"/>
      <c r="J220" s="1"/>
      <c r="K220" s="1"/>
    </row>
    <row r="221" spans="3:11" x14ac:dyDescent="0.25">
      <c r="C221" t="str">
        <f ca="1">INDEX(Sheet4!B56:R56,MATCH(Game!$C$213,Sheet4!$B$48:$R$48,0))</f>
        <v>Jason</v>
      </c>
      <c r="D221" s="1"/>
      <c r="E221" s="1" t="str">
        <f ca="1">G220</f>
        <v>Jillian</v>
      </c>
      <c r="F221" s="1">
        <f ca="1">RAND()</f>
        <v>0.22839658941759844</v>
      </c>
      <c r="G221" s="1" t="str">
        <f ca="1">H209&amp;" selects…"</f>
        <v>Team 3 selects…</v>
      </c>
      <c r="H221" s="1"/>
      <c r="I221" s="1"/>
      <c r="J221" s="1"/>
      <c r="K221" s="1"/>
    </row>
    <row r="222" spans="3:11" x14ac:dyDescent="0.25">
      <c r="C222" s="1"/>
      <c r="D222" s="1"/>
      <c r="E222" s="1" t="str">
        <f ca="1">G222</f>
        <v>Raven</v>
      </c>
      <c r="F222" s="1">
        <f ca="1">RAND()</f>
        <v>0.31779003824346896</v>
      </c>
      <c r="G222" s="1" t="str">
        <f ca="1">INDEX(H210:H213,MATCH(LARGE(F210:F213,1),F210:F213,0))</f>
        <v>Raven</v>
      </c>
      <c r="H222" s="1"/>
      <c r="I222" s="1"/>
      <c r="J222" s="1"/>
      <c r="K222" s="1"/>
    </row>
    <row r="223" spans="3:11" x14ac:dyDescent="0.25">
      <c r="C223" s="1" t="str">
        <f ca="1">INDEX(C230:C245,MATCH(LARGE(F230:F245,1),F230:F245,0))</f>
        <v>Jason</v>
      </c>
      <c r="D223" s="1">
        <f t="shared" ref="D223:D229" ca="1" si="20">RAND()</f>
        <v>0.90167765642999453</v>
      </c>
      <c r="E223" s="1"/>
      <c r="F223" s="1"/>
      <c r="G223" s="1"/>
      <c r="H223" s="1"/>
      <c r="I223" s="1"/>
      <c r="J223" s="1"/>
      <c r="K223" s="1"/>
    </row>
    <row r="224" spans="3:11" x14ac:dyDescent="0.25">
      <c r="C224" s="1" t="str">
        <f ca="1">INDEX(C230:C245,MATCH(LARGE(F230:F245,2),F230:F245,0))</f>
        <v>Jessica</v>
      </c>
      <c r="D224" s="1">
        <f t="shared" ca="1" si="20"/>
        <v>0.15482759726409256</v>
      </c>
      <c r="E224" s="1"/>
      <c r="F224" s="1"/>
      <c r="G224" s="1" t="s">
        <v>82</v>
      </c>
      <c r="H224" s="1"/>
      <c r="I224" s="1"/>
      <c r="J224" s="1"/>
      <c r="K224" s="1"/>
    </row>
    <row r="225" spans="3:11" x14ac:dyDescent="0.25">
      <c r="C225" s="1" t="str">
        <f ca="1">INDEX(C230:C245,MATCH(LARGE(F230:F245,3),F230:F245,0))</f>
        <v>Christmas</v>
      </c>
      <c r="D225" s="1">
        <f t="shared" ca="1" si="20"/>
        <v>0.82745786245838382</v>
      </c>
      <c r="E225" s="1"/>
      <c r="F225" s="1"/>
      <c r="G225" s="1" t="str">
        <f ca="1">INDEX(E221:E222,RANK(F221,F221:F222))</f>
        <v>Raven</v>
      </c>
      <c r="H225" s="1"/>
      <c r="I225" s="1"/>
      <c r="J225" s="1"/>
      <c r="K225" s="1"/>
    </row>
    <row r="226" spans="3:11" x14ac:dyDescent="0.25">
      <c r="C226" s="1" t="str">
        <f ca="1">INDEX(C230:C245,MATCH(LARGE(F230:F245,4),F230:F245,0))</f>
        <v>Alex</v>
      </c>
      <c r="D226" s="1">
        <f t="shared" ca="1" si="20"/>
        <v>0.53934768428604329</v>
      </c>
      <c r="E226" s="1"/>
      <c r="F226" s="1"/>
      <c r="G226" s="1"/>
      <c r="H226" s="1"/>
      <c r="I226" s="1"/>
      <c r="J226" s="1"/>
      <c r="K226" s="1"/>
    </row>
    <row r="227" spans="3:11" x14ac:dyDescent="0.25">
      <c r="C227" s="1" t="str">
        <f ca="1">INDEX(C230:C245,MATCH(LARGE(F230:F245,5),F230:F245,0))</f>
        <v>Elena</v>
      </c>
      <c r="D227" s="1">
        <f t="shared" ca="1" si="20"/>
        <v>0.66171550486501185</v>
      </c>
      <c r="E227" s="1"/>
      <c r="F227" s="1" t="str">
        <f ca="1">G225</f>
        <v>Raven</v>
      </c>
      <c r="G227" s="1" t="str">
        <f ca="1">G225&amp;" wins HOH!"</f>
        <v>Raven wins HOH!</v>
      </c>
      <c r="H227" s="1"/>
      <c r="I227" s="1"/>
      <c r="J227" s="1"/>
      <c r="K227" s="1"/>
    </row>
    <row r="228" spans="3:11" x14ac:dyDescent="0.25">
      <c r="C228" s="1"/>
      <c r="D228" s="1">
        <f t="shared" ca="1" si="20"/>
        <v>0.30157736052386519</v>
      </c>
      <c r="E228" s="1" t="str">
        <f ca="1">G232</f>
        <v>Paul</v>
      </c>
      <c r="F228" s="1" t="str">
        <f ca="1">INDEX(E228:E229,RANK(D228,D228:D229))</f>
        <v>Kevin</v>
      </c>
      <c r="G228" s="1" t="str">
        <f ca="1">"Congratulations, "&amp;G225</f>
        <v>Congratulations, Raven</v>
      </c>
      <c r="H228" s="1"/>
      <c r="I228" s="1"/>
      <c r="J228" s="1"/>
      <c r="K228" s="1"/>
    </row>
    <row r="229" spans="3:11" x14ac:dyDescent="0.25">
      <c r="C229" s="1"/>
      <c r="D229" s="1">
        <f t="shared" ca="1" si="20"/>
        <v>0.86077190447374918</v>
      </c>
      <c r="E229" s="1" t="str">
        <f ca="1">G234</f>
        <v>Kevin</v>
      </c>
      <c r="F229" s="1"/>
      <c r="G229" s="1"/>
      <c r="H229" s="1"/>
      <c r="I229" s="1"/>
      <c r="J229" s="1"/>
      <c r="K229" s="1"/>
    </row>
    <row r="230" spans="3:11" x14ac:dyDescent="0.25">
      <c r="C230" s="1"/>
      <c r="D230" s="1"/>
      <c r="E230" s="1"/>
      <c r="F230" s="1"/>
      <c r="G230" s="2" t="s">
        <v>83</v>
      </c>
      <c r="H230" s="1"/>
      <c r="I230" s="1"/>
      <c r="J230" s="1"/>
    </row>
    <row r="231" spans="3:11" x14ac:dyDescent="0.25">
      <c r="C231" s="1" t="str">
        <f ca="1">G171</f>
        <v>Alex</v>
      </c>
      <c r="D231" s="1">
        <f t="shared" ref="D231:D246" ca="1" si="21">IF($G$225=C231,"",IF(C231=$G$195,"",RAND()))</f>
        <v>0.2758115713607292</v>
      </c>
      <c r="E231" s="1">
        <f t="shared" ref="E231:E247" ca="1" si="22">IF(COUNTIF($G$276:$G$277,C231)=1,"",IF(COUNTIF($F$227:$F$228,C231)=1,"",RAND()))</f>
        <v>0.44755398846129335</v>
      </c>
      <c r="F231" s="1">
        <f t="shared" ref="F231:F246" ca="1" si="23">IF(COUNTIF($F$227:$F$228,C231)=1,"",RAND())</f>
        <v>0.71074478312840828</v>
      </c>
      <c r="G231" s="1" t="str">
        <f ca="1">"The first person "&amp;G225&amp;" has nominated is…"</f>
        <v>The first person Raven has nominated is…</v>
      </c>
      <c r="H231" s="1"/>
      <c r="I231" s="1"/>
      <c r="J231" s="1"/>
    </row>
    <row r="232" spans="3:11" x14ac:dyDescent="0.25">
      <c r="C232" s="1" t="str">
        <f ca="1">H171</f>
        <v>Cameron</v>
      </c>
      <c r="D232" s="1">
        <f t="shared" ca="1" si="21"/>
        <v>0.99797970509608225</v>
      </c>
      <c r="E232" s="1">
        <f t="shared" ca="1" si="22"/>
        <v>0.24031951788664552</v>
      </c>
      <c r="F232" s="1">
        <f t="shared" ca="1" si="23"/>
        <v>0.45097468641276428</v>
      </c>
      <c r="G232" s="1" t="str">
        <f ca="1">IF($I$26="Off",INDEX(C231:C246,MATCH(LARGE(D231:D246,1),D231:D246,0)),D214)</f>
        <v>Paul</v>
      </c>
      <c r="H232" s="1"/>
      <c r="I232" s="1"/>
      <c r="J232" s="1"/>
    </row>
    <row r="233" spans="3:11" x14ac:dyDescent="0.25">
      <c r="C233" s="1" t="str">
        <f ca="1">I171</f>
        <v>Christmas</v>
      </c>
      <c r="D233" s="1">
        <f t="shared" ca="1" si="21"/>
        <v>0.42656620674547296</v>
      </c>
      <c r="E233" s="1">
        <f t="shared" ca="1" si="22"/>
        <v>0.91700083657298126</v>
      </c>
      <c r="F233" s="1">
        <f t="shared" ca="1" si="23"/>
        <v>0.84144739224544751</v>
      </c>
      <c r="G233" s="1" t="str">
        <f ca="1">"The second person "&amp;G225&amp;" has nominated is…"</f>
        <v>The second person Raven has nominated is…</v>
      </c>
      <c r="H233" s="1"/>
      <c r="I233" s="1"/>
      <c r="J233" s="1"/>
    </row>
    <row r="234" spans="3:11" x14ac:dyDescent="0.25">
      <c r="C234" s="1" t="str">
        <f ca="1">J171</f>
        <v>Cody</v>
      </c>
      <c r="D234" s="1">
        <f t="shared" ca="1" si="21"/>
        <v>0.33320950090898849</v>
      </c>
      <c r="E234" s="1">
        <f t="shared" ca="1" si="22"/>
        <v>0.47188219636027717</v>
      </c>
      <c r="F234" s="1">
        <f t="shared" ca="1" si="23"/>
        <v>0.36502654231145137</v>
      </c>
      <c r="G234" s="1" t="str">
        <f ca="1">IF($I$26="Off",INDEX(C231:C246,MATCH(LARGE(D231:D246,2),D231:D246,0)),D215)</f>
        <v>Kevin</v>
      </c>
      <c r="H234" s="1"/>
      <c r="I234" s="1"/>
      <c r="J234" s="1"/>
    </row>
    <row r="235" spans="3:11" x14ac:dyDescent="0.25">
      <c r="C235" s="1" t="str">
        <f ca="1">K171</f>
        <v>Elena</v>
      </c>
      <c r="D235" s="1">
        <f t="shared" ca="1" si="21"/>
        <v>0.22311740544803405</v>
      </c>
      <c r="E235" s="1">
        <f t="shared" ca="1" si="22"/>
        <v>0.17930419274794007</v>
      </c>
      <c r="F235" s="1">
        <f t="shared" ca="1" si="23"/>
        <v>0.56353199211085814</v>
      </c>
      <c r="G235" s="1"/>
      <c r="H235" s="1"/>
      <c r="I235" s="1"/>
      <c r="J235" s="1"/>
    </row>
    <row r="236" spans="3:11" x14ac:dyDescent="0.25">
      <c r="C236" s="1" t="str">
        <f ca="1">G174</f>
        <v>Jason</v>
      </c>
      <c r="D236" s="1">
        <f t="shared" ca="1" si="21"/>
        <v>0.49134780952560164</v>
      </c>
      <c r="E236" s="1">
        <f t="shared" ca="1" si="22"/>
        <v>0.67576617769428182</v>
      </c>
      <c r="F236" s="1">
        <f t="shared" ca="1" si="23"/>
        <v>0.9720457628130289</v>
      </c>
      <c r="G236" s="2" t="s">
        <v>84</v>
      </c>
      <c r="H236" s="1"/>
      <c r="I236" s="1"/>
      <c r="J236" s="1"/>
    </row>
    <row r="237" spans="3:11" x14ac:dyDescent="0.25">
      <c r="C237" s="1" t="str">
        <f ca="1">H174</f>
        <v>Jessica</v>
      </c>
      <c r="D237" s="1">
        <f t="shared" ca="1" si="21"/>
        <v>0.54438716292722689</v>
      </c>
      <c r="E237" s="1">
        <f t="shared" ca="1" si="22"/>
        <v>0.17196320536042298</v>
      </c>
      <c r="F237" s="1">
        <f t="shared" ca="1" si="23"/>
        <v>0.84501574303952354</v>
      </c>
      <c r="G237" s="1" t="str">
        <f ca="1">"The pressure of the game has gotten to "&amp;F228</f>
        <v>The pressure of the game has gotten to Kevin</v>
      </c>
      <c r="H237" s="1"/>
      <c r="I237" s="1"/>
      <c r="J237" s="1"/>
    </row>
    <row r="238" spans="3:11" x14ac:dyDescent="0.25">
      <c r="C238" s="1" t="str">
        <f ca="1">I174</f>
        <v>Jillian</v>
      </c>
      <c r="D238" s="1">
        <f t="shared" ca="1" si="21"/>
        <v>0.11978361853915576</v>
      </c>
      <c r="E238" s="1">
        <f t="shared" ca="1" si="22"/>
        <v>0.49938292715779276</v>
      </c>
      <c r="F238" s="1">
        <f t="shared" ca="1" si="23"/>
        <v>0.43755406088416238</v>
      </c>
      <c r="G238" s="1" t="str">
        <f ca="1">F228&amp;" has decided to walk"</f>
        <v>Kevin has decided to walk</v>
      </c>
      <c r="H238" s="1"/>
      <c r="I238" s="1"/>
      <c r="J238" s="1"/>
    </row>
    <row r="239" spans="3:11" x14ac:dyDescent="0.25">
      <c r="C239" s="1" t="str">
        <f ca="1">J174</f>
        <v>Josh</v>
      </c>
      <c r="D239" s="1">
        <f t="shared" ca="1" si="21"/>
        <v>0.94298284408029986</v>
      </c>
      <c r="E239" s="1">
        <f t="shared" ca="1" si="22"/>
        <v>0.2010645194493379</v>
      </c>
      <c r="F239" s="1">
        <f t="shared" ca="1" si="23"/>
        <v>1.5968399086568885E-3</v>
      </c>
      <c r="G239" s="1" t="str">
        <f ca="1">G225&amp;" will need to put up a new nominee"</f>
        <v>Raven will need to put up a new nominee</v>
      </c>
      <c r="H239" s="1"/>
      <c r="I239" s="1"/>
      <c r="J239" s="1"/>
    </row>
    <row r="240" spans="3:11" x14ac:dyDescent="0.25">
      <c r="C240" s="1" t="str">
        <f ca="1">K174</f>
        <v>Kevin</v>
      </c>
      <c r="D240" s="1">
        <f t="shared" ca="1" si="21"/>
        <v>0.5273512880855532</v>
      </c>
      <c r="E240" s="1" t="str">
        <f t="shared" ca="1" si="22"/>
        <v/>
      </c>
      <c r="F240" s="1" t="str">
        <f t="shared" ca="1" si="23"/>
        <v/>
      </c>
      <c r="G240" s="1"/>
      <c r="H240" s="1"/>
      <c r="I240" s="1"/>
      <c r="J240" s="1"/>
    </row>
    <row r="241" spans="3:11" x14ac:dyDescent="0.25">
      <c r="C241" s="1" t="str">
        <f ca="1">L174</f>
        <v>Mark</v>
      </c>
      <c r="D241" s="1">
        <f t="shared" ca="1" si="21"/>
        <v>0.76344081527995211</v>
      </c>
      <c r="E241" s="1">
        <f t="shared" ca="1" si="22"/>
        <v>0.63618135530695241</v>
      </c>
      <c r="F241" s="1">
        <f t="shared" ca="1" si="23"/>
        <v>8.9219964821038333E-2</v>
      </c>
      <c r="G241" s="2" t="s">
        <v>85</v>
      </c>
      <c r="H241" s="1"/>
      <c r="I241" s="1"/>
      <c r="J241" s="1"/>
    </row>
    <row r="242" spans="3:11" x14ac:dyDescent="0.25">
      <c r="C242" s="1" t="str">
        <f ca="1">G177</f>
        <v>Matt</v>
      </c>
      <c r="D242" s="1" t="str">
        <f t="shared" ca="1" si="21"/>
        <v/>
      </c>
      <c r="E242" s="1">
        <f t="shared" ca="1" si="22"/>
        <v>0.66744575940350737</v>
      </c>
      <c r="F242" s="1">
        <f t="shared" ca="1" si="23"/>
        <v>0.11170650031574081</v>
      </c>
      <c r="G242" s="1" t="s">
        <v>86</v>
      </c>
      <c r="H242" s="1"/>
      <c r="I242" s="1"/>
      <c r="J242" s="1"/>
    </row>
    <row r="243" spans="3:11" x14ac:dyDescent="0.25">
      <c r="C243" s="1" t="str">
        <f ca="1">H177</f>
        <v>Megan</v>
      </c>
      <c r="D243" s="1">
        <f t="shared" ca="1" si="21"/>
        <v>0.97868904952273095</v>
      </c>
      <c r="E243" s="1" t="str">
        <f t="shared" ca="1" si="22"/>
        <v/>
      </c>
      <c r="F243" s="1">
        <f t="shared" ca="1" si="23"/>
        <v>0.39400578939663589</v>
      </c>
      <c r="G243" s="1" t="s">
        <v>87</v>
      </c>
      <c r="H243" s="1"/>
      <c r="I243" s="1"/>
      <c r="J243" s="1"/>
    </row>
    <row r="244" spans="3:11" x14ac:dyDescent="0.25">
      <c r="C244" s="1" t="str">
        <f ca="1">I177</f>
        <v>Paul</v>
      </c>
      <c r="D244" s="1">
        <f t="shared" ca="1" si="21"/>
        <v>0.6122927650433424</v>
      </c>
      <c r="E244" s="1" t="str">
        <f t="shared" ca="1" si="22"/>
        <v/>
      </c>
      <c r="F244" s="1">
        <f t="shared" ca="1" si="23"/>
        <v>0.39709537958497854</v>
      </c>
      <c r="G244" s="1" t="str">
        <f ca="1">C223&amp;", "&amp;C224&amp;", "&amp;C225&amp;", "&amp;C226&amp;" and "&amp;C227</f>
        <v>Jason, Jessica, Christmas, Alex and Elena</v>
      </c>
      <c r="H244" s="1"/>
      <c r="I244" s="1"/>
      <c r="J244" s="1"/>
    </row>
    <row r="245" spans="3:11" x14ac:dyDescent="0.25">
      <c r="C245" s="1" t="str">
        <f ca="1">J177</f>
        <v>Ramses</v>
      </c>
      <c r="D245" s="1">
        <f t="shared" ca="1" si="21"/>
        <v>1.4595125093317396E-3</v>
      </c>
      <c r="E245" s="1">
        <f t="shared" ca="1" si="22"/>
        <v>0.18084723259130464</v>
      </c>
      <c r="F245" s="1">
        <f t="shared" ca="1" si="23"/>
        <v>0.29843165425200935</v>
      </c>
      <c r="G245" s="1"/>
      <c r="H245" s="1"/>
      <c r="I245" s="1"/>
      <c r="J245" s="1"/>
    </row>
    <row r="246" spans="3:11" x14ac:dyDescent="0.25">
      <c r="C246" s="1" t="str">
        <f ca="1">K177</f>
        <v>Raven</v>
      </c>
      <c r="D246" s="1" t="str">
        <f t="shared" ca="1" si="21"/>
        <v/>
      </c>
      <c r="E246" s="1" t="str">
        <f t="shared" ca="1" si="22"/>
        <v/>
      </c>
      <c r="F246" s="1" t="str">
        <f t="shared" ca="1" si="23"/>
        <v/>
      </c>
      <c r="G246" s="2" t="s">
        <v>88</v>
      </c>
      <c r="H246" s="1"/>
      <c r="I246" s="1"/>
      <c r="J246" s="1"/>
    </row>
    <row r="247" spans="3:11" x14ac:dyDescent="0.25">
      <c r="C247" s="1" t="s">
        <v>89</v>
      </c>
      <c r="D247" s="1"/>
      <c r="E247" s="1">
        <f t="shared" ca="1" si="22"/>
        <v>0.19327761675391586</v>
      </c>
      <c r="F247" s="1"/>
      <c r="G247" s="1" t="s">
        <v>90</v>
      </c>
      <c r="H247" s="1"/>
      <c r="I247" s="1"/>
      <c r="J247" s="1"/>
    </row>
    <row r="248" spans="3:11" x14ac:dyDescent="0.25">
      <c r="G248" s="1" t="s">
        <v>91</v>
      </c>
      <c r="H248" s="1"/>
      <c r="I248" s="1"/>
      <c r="J248" s="1"/>
    </row>
    <row r="249" spans="3:11" x14ac:dyDescent="0.25">
      <c r="C249" s="1" t="str">
        <f t="shared" ref="C249:C264" ca="1" si="24">C231</f>
        <v>Alex</v>
      </c>
      <c r="D249" s="1">
        <f t="shared" ref="D249:D264" ca="1" si="25">IF(C249=$F$228,"",RAND())</f>
        <v>0.90170927630084363</v>
      </c>
      <c r="E249" s="1">
        <f t="shared" ref="E249:E264" ca="1" si="26">IF(COUNTIF($C$307:$F$308,C249)&gt;=1,"",RAND())</f>
        <v>0.28421786994064147</v>
      </c>
      <c r="G249" s="1" t="s">
        <v>92</v>
      </c>
      <c r="H249" s="1"/>
      <c r="I249" s="1"/>
      <c r="J249" s="1"/>
    </row>
    <row r="250" spans="3:11" x14ac:dyDescent="0.25">
      <c r="C250" s="1" t="str">
        <f t="shared" ca="1" si="24"/>
        <v>Cameron</v>
      </c>
      <c r="D250" s="1">
        <f t="shared" ca="1" si="25"/>
        <v>0.20719735971281084</v>
      </c>
      <c r="E250" s="1">
        <f t="shared" ca="1" si="26"/>
        <v>7.5509197710293963E-2</v>
      </c>
      <c r="G250" s="1" t="s">
        <v>93</v>
      </c>
      <c r="H250" s="1"/>
      <c r="I250" s="1"/>
      <c r="J250" s="1"/>
    </row>
    <row r="251" spans="3:11" x14ac:dyDescent="0.25">
      <c r="C251" s="1" t="str">
        <f t="shared" ca="1" si="24"/>
        <v>Christmas</v>
      </c>
      <c r="D251" s="1">
        <f t="shared" ca="1" si="25"/>
        <v>0.55116993282340321</v>
      </c>
      <c r="E251" s="1" t="str">
        <f t="shared" ca="1" si="26"/>
        <v/>
      </c>
      <c r="G251" s="1"/>
      <c r="H251" s="1"/>
      <c r="I251" s="1"/>
      <c r="J251" s="1"/>
    </row>
    <row r="252" spans="3:11" x14ac:dyDescent="0.25">
      <c r="C252" s="1" t="str">
        <f t="shared" ca="1" si="24"/>
        <v>Cody</v>
      </c>
      <c r="D252" s="1">
        <f t="shared" ca="1" si="25"/>
        <v>4.8574326082358454E-2</v>
      </c>
      <c r="E252" s="1">
        <f t="shared" ca="1" si="26"/>
        <v>0.31966926352130498</v>
      </c>
      <c r="F252" s="1" t="str">
        <f ca="1">INDEX(C223:C227,RANK(D223,D223:D227))</f>
        <v>Jason</v>
      </c>
      <c r="G252" s="1" t="str">
        <f ca="1">F252&amp;" requests the key"</f>
        <v>Jason requests the key</v>
      </c>
      <c r="H252" s="1"/>
      <c r="I252" s="1"/>
      <c r="J252" s="1"/>
    </row>
    <row r="253" spans="3:11" x14ac:dyDescent="0.25">
      <c r="C253" s="1" t="str">
        <f t="shared" ca="1" si="24"/>
        <v>Elena</v>
      </c>
      <c r="D253" s="1">
        <f t="shared" ca="1" si="25"/>
        <v>0.96166481966688211</v>
      </c>
      <c r="E253" s="1">
        <f t="shared" ca="1" si="26"/>
        <v>0.97608804605444932</v>
      </c>
      <c r="F253" s="1">
        <f ca="1">RANDBETWEEN(1,2)</f>
        <v>2</v>
      </c>
      <c r="G253" s="1" t="str">
        <f ca="1">IF(F253=1,F252&amp;" is now a Have for the week",F252&amp;" is now a Have Not next week as well")</f>
        <v>Jason is now a Have Not next week as well</v>
      </c>
      <c r="H253" s="1"/>
      <c r="I253" s="1"/>
      <c r="J253" s="1"/>
    </row>
    <row r="254" spans="3:11" x14ac:dyDescent="0.25">
      <c r="C254" s="1" t="str">
        <f t="shared" ca="1" si="24"/>
        <v>Jason</v>
      </c>
      <c r="D254" s="1">
        <f t="shared" ca="1" si="25"/>
        <v>0.27678557756603073</v>
      </c>
      <c r="E254" s="1" t="str">
        <f t="shared" ca="1" si="26"/>
        <v/>
      </c>
    </row>
    <row r="255" spans="3:11" x14ac:dyDescent="0.25">
      <c r="C255" s="1" t="str">
        <f t="shared" ca="1" si="24"/>
        <v>Jessica</v>
      </c>
      <c r="D255" s="1">
        <f t="shared" ca="1" si="25"/>
        <v>6.1884551814411992E-2</v>
      </c>
      <c r="E255" s="1">
        <f t="shared" ca="1" si="26"/>
        <v>7.0398462737713108E-2</v>
      </c>
      <c r="G255" s="2" t="s">
        <v>94</v>
      </c>
      <c r="H255" s="1"/>
      <c r="I255" s="1"/>
      <c r="J255" s="1"/>
      <c r="K255" s="1"/>
    </row>
    <row r="256" spans="3:11" x14ac:dyDescent="0.25">
      <c r="C256" s="1" t="str">
        <f t="shared" ca="1" si="24"/>
        <v>Jillian</v>
      </c>
      <c r="D256" s="1">
        <f t="shared" ca="1" si="25"/>
        <v>0.97042680236945134</v>
      </c>
      <c r="E256" s="1">
        <f t="shared" ca="1" si="26"/>
        <v>0.62461556040121624</v>
      </c>
      <c r="G256" s="1" t="s">
        <v>95</v>
      </c>
      <c r="H256" s="1"/>
      <c r="I256" s="1"/>
      <c r="J256" s="1"/>
      <c r="K256" s="1"/>
    </row>
    <row r="257" spans="3:11" x14ac:dyDescent="0.25">
      <c r="C257" s="1" t="str">
        <f t="shared" ca="1" si="24"/>
        <v>Josh</v>
      </c>
      <c r="D257" s="1">
        <f t="shared" ca="1" si="25"/>
        <v>0.71429478647399236</v>
      </c>
      <c r="E257" s="1">
        <f t="shared" ca="1" si="26"/>
        <v>0.40910005998816368</v>
      </c>
      <c r="F257" t="str">
        <f ca="1">Sheet4!U20</f>
        <v>Jason</v>
      </c>
      <c r="G257" s="1" t="s">
        <v>96</v>
      </c>
      <c r="H257" s="1"/>
      <c r="I257" s="1"/>
      <c r="J257" s="1"/>
      <c r="K257" s="1"/>
    </row>
    <row r="258" spans="3:11" x14ac:dyDescent="0.25">
      <c r="C258" s="1" t="str">
        <f t="shared" ca="1" si="24"/>
        <v>Kevin</v>
      </c>
      <c r="D258" s="1" t="str">
        <f t="shared" ca="1" si="25"/>
        <v/>
      </c>
      <c r="E258" s="1" t="str">
        <f t="shared" ca="1" si="26"/>
        <v/>
      </c>
      <c r="F258" t="str">
        <f ca="1">Sheet4!U21</f>
        <v>Alex</v>
      </c>
      <c r="G258" s="1" t="s">
        <v>97</v>
      </c>
      <c r="H258" s="1"/>
      <c r="I258" s="1"/>
      <c r="J258" s="1"/>
      <c r="K258" s="1"/>
    </row>
    <row r="259" spans="3:11" x14ac:dyDescent="0.25">
      <c r="C259" s="1" t="str">
        <f t="shared" ca="1" si="24"/>
        <v>Mark</v>
      </c>
      <c r="D259" s="1">
        <f t="shared" ca="1" si="25"/>
        <v>0.74440183763980261</v>
      </c>
      <c r="E259" s="1">
        <f t="shared" ca="1" si="26"/>
        <v>0.60231294565254467</v>
      </c>
      <c r="F259" t="str">
        <f ca="1">Sheet4!U22</f>
        <v>Josh</v>
      </c>
      <c r="G259" s="1" t="s">
        <v>98</v>
      </c>
      <c r="H259" s="1"/>
      <c r="I259" s="1"/>
      <c r="J259" s="1"/>
      <c r="K259" s="1"/>
    </row>
    <row r="260" spans="3:11" x14ac:dyDescent="0.25">
      <c r="C260" s="1" t="str">
        <f t="shared" ca="1" si="24"/>
        <v>Matt</v>
      </c>
      <c r="D260" s="1">
        <f t="shared" ca="1" si="25"/>
        <v>0.25938539193699939</v>
      </c>
      <c r="E260" s="1" t="str">
        <f t="shared" ca="1" si="26"/>
        <v/>
      </c>
      <c r="F260">
        <f ca="1">IF(COUNTIF($F$263:$F$264,F257)=1,"",1)</f>
        <v>1</v>
      </c>
      <c r="G260" s="1" t="s">
        <v>99</v>
      </c>
      <c r="H260" s="1"/>
      <c r="I260" s="1"/>
      <c r="J260" s="1"/>
      <c r="K260" s="1"/>
    </row>
    <row r="261" spans="3:11" x14ac:dyDescent="0.25">
      <c r="C261" s="1" t="str">
        <f t="shared" ca="1" si="24"/>
        <v>Megan</v>
      </c>
      <c r="D261" s="1">
        <f t="shared" ca="1" si="25"/>
        <v>0.45160570084094553</v>
      </c>
      <c r="E261" s="1" t="str">
        <f t="shared" ca="1" si="26"/>
        <v/>
      </c>
      <c r="F261">
        <f ca="1">IF(COUNTIF($F$263:$F$264,F258)=1,"",2)</f>
        <v>2</v>
      </c>
      <c r="G261" s="1" t="str">
        <f ca="1">IF($I$23="On",INDEX(F257:F259,MATCH(SMALL(F260:F262,1),F260:F262,0)),INDEX(C249:C264,MATCH(LARGE(D249:D264,1),D249:D264,0)))</f>
        <v>Jason</v>
      </c>
      <c r="H261" s="1"/>
      <c r="I261" s="1"/>
      <c r="J261" s="1"/>
      <c r="K261" s="1"/>
    </row>
    <row r="262" spans="3:11" x14ac:dyDescent="0.25">
      <c r="C262" s="1" t="str">
        <f t="shared" ca="1" si="24"/>
        <v>Paul</v>
      </c>
      <c r="D262" s="1">
        <f t="shared" ca="1" si="25"/>
        <v>0.40854701757803147</v>
      </c>
      <c r="E262" s="1" t="str">
        <f t="shared" ca="1" si="26"/>
        <v/>
      </c>
      <c r="F262">
        <f ca="1">IF(COUNTIF($F$263:$F$264,F259)=1,"",3)</f>
        <v>3</v>
      </c>
      <c r="G262" s="1" t="str">
        <f ca="1">G261&amp;" accepts the temptation"</f>
        <v>Jason accepts the temptation</v>
      </c>
      <c r="H262" s="1"/>
      <c r="I262" s="1"/>
      <c r="J262" s="1"/>
      <c r="K262" s="1"/>
    </row>
    <row r="263" spans="3:11" x14ac:dyDescent="0.25">
      <c r="C263" s="1" t="str">
        <f t="shared" ca="1" si="24"/>
        <v>Ramses</v>
      </c>
      <c r="D263" s="1">
        <f t="shared" ca="1" si="25"/>
        <v>0.99723309239884639</v>
      </c>
      <c r="E263" s="1">
        <f t="shared" ca="1" si="26"/>
        <v>0.74359465476888975</v>
      </c>
      <c r="F263" t="str">
        <f ca="1">G165</f>
        <v>Dominique</v>
      </c>
      <c r="G263" s="1" t="s">
        <v>100</v>
      </c>
      <c r="H263" s="1"/>
      <c r="I263" s="1"/>
      <c r="J263" s="1"/>
      <c r="K263" s="1"/>
    </row>
    <row r="264" spans="3:11" x14ac:dyDescent="0.25">
      <c r="C264" s="1" t="str">
        <f t="shared" ca="1" si="24"/>
        <v>Raven</v>
      </c>
      <c r="D264" s="1">
        <f t="shared" ca="1" si="25"/>
        <v>3.3283977695050426E-2</v>
      </c>
      <c r="E264" s="1" t="str">
        <f t="shared" ca="1" si="26"/>
        <v/>
      </c>
      <c r="F264" t="str">
        <f ca="1">F228</f>
        <v>Kevin</v>
      </c>
      <c r="G264" s="1" t="str">
        <f ca="1">G261&amp;" randomly picked a recipient for the punishment"</f>
        <v>Jason randomly picked a recipient for the punishment</v>
      </c>
      <c r="H264" s="1"/>
      <c r="I264" s="1"/>
      <c r="J264" s="1"/>
      <c r="K264" s="1"/>
    </row>
    <row r="265" spans="3:11" x14ac:dyDescent="0.25">
      <c r="G265" s="1" t="s">
        <v>101</v>
      </c>
      <c r="H265" s="1"/>
      <c r="I265" s="1"/>
      <c r="J265" s="1"/>
      <c r="K265" s="1"/>
    </row>
    <row r="267" spans="3:11" x14ac:dyDescent="0.25">
      <c r="G267" s="2" t="s">
        <v>102</v>
      </c>
      <c r="H267" s="1"/>
      <c r="I267" s="1"/>
    </row>
    <row r="268" spans="3:11" x14ac:dyDescent="0.25">
      <c r="G268" s="1" t="str">
        <f ca="1">F227&amp;" has decided to put up…"</f>
        <v>Raven has decided to put up…</v>
      </c>
      <c r="H268" s="1"/>
      <c r="I268" s="1"/>
    </row>
    <row r="269" spans="3:11" x14ac:dyDescent="0.25">
      <c r="F269" t="str">
        <f ca="1">IF(F228=G234,G232,G234)</f>
        <v>Paul</v>
      </c>
      <c r="G269" s="1" t="str">
        <f ca="1">IF($I$26="On",D216,INDEX(C231:C246,MATCH(LARGE(D231:D246,3),D231:D246,0)))</f>
        <v>Megan</v>
      </c>
      <c r="H269" s="1"/>
      <c r="I269" s="1"/>
    </row>
    <row r="270" spans="3:11" x14ac:dyDescent="0.25">
      <c r="C270" t="str">
        <f ca="1">F228</f>
        <v>Kevin</v>
      </c>
      <c r="G270" s="1" t="str">
        <f ca="1">IF(COUNTIF(F269:G269,G261)=1,"It is then revealed that "&amp;G261&amp;" has The Pendant of Protection","")</f>
        <v/>
      </c>
      <c r="H270" s="1"/>
      <c r="I270" s="1"/>
    </row>
    <row r="271" spans="3:11" x14ac:dyDescent="0.25">
      <c r="C271" t="str">
        <f ca="1">G261</f>
        <v>Jason</v>
      </c>
      <c r="G271" t="str">
        <f ca="1">IF(G270="","",G261&amp;" has immunity for the next 3 evictions")</f>
        <v/>
      </c>
      <c r="H271" s="1"/>
      <c r="I271" s="1"/>
    </row>
    <row r="272" spans="3:11" x14ac:dyDescent="0.25">
      <c r="E272" t="str">
        <f ca="1">D214</f>
        <v>Paul</v>
      </c>
      <c r="F272">
        <f ca="1">IF(E272=$F$228,"",IF(E272=$G$261,"",1))</f>
        <v>1</v>
      </c>
      <c r="G272" s="1" t="str">
        <f ca="1">IF(G270="","",F227&amp;" will need to put someone else up")</f>
        <v/>
      </c>
      <c r="H272" s="1"/>
      <c r="I272" s="1"/>
    </row>
    <row r="273" spans="3:12" x14ac:dyDescent="0.25">
      <c r="E273" t="str">
        <f ca="1">D215</f>
        <v>Kevin</v>
      </c>
      <c r="F273" t="str">
        <f ca="1">IF(E273=$F$228,"",IF(E273=$G$261,"",2))</f>
        <v/>
      </c>
      <c r="G273" s="1" t="str">
        <f ca="1">IF(G272="","",G268)</f>
        <v/>
      </c>
      <c r="H273" s="1"/>
      <c r="I273" s="1"/>
    </row>
    <row r="274" spans="3:12" x14ac:dyDescent="0.25">
      <c r="C274" t="str">
        <f ca="1">G232</f>
        <v>Paul</v>
      </c>
      <c r="D274" s="1" t="str">
        <f ca="1">INDEX(E272:E275,MATCH(SMALL(F272:F275,1),F272:F275,0))</f>
        <v>Paul</v>
      </c>
      <c r="E274" t="str">
        <f ca="1">D216</f>
        <v>Megan</v>
      </c>
      <c r="F274">
        <f ca="1">IF(E274=$F$228,"",IF(E274=$G$261,"",3))</f>
        <v>3</v>
      </c>
      <c r="G274" s="1" t="str">
        <f ca="1">IF(G273="","",IF($I$26="On",D217,INDEX(C231:C246,MATCH(LARGE(D231:D246,4),D231:D246,0))))</f>
        <v/>
      </c>
      <c r="H274" s="1"/>
      <c r="I274" s="1"/>
    </row>
    <row r="275" spans="3:12" x14ac:dyDescent="0.25">
      <c r="C275" t="str">
        <f ca="1">G234</f>
        <v>Kevin</v>
      </c>
      <c r="D275" s="1" t="str">
        <f ca="1">INDEX(E272:E275,MATCH(SMALL(F272:F275,2),F272:F275,0))</f>
        <v>Megan</v>
      </c>
      <c r="E275" t="str">
        <f ca="1">D217</f>
        <v>Mark</v>
      </c>
      <c r="F275">
        <f ca="1">IF(E275=$F$228,"",IF(E275=$G$261,"",4))</f>
        <v>4</v>
      </c>
      <c r="G275" s="1" t="s">
        <v>103</v>
      </c>
      <c r="H275" s="1"/>
      <c r="I275" s="1"/>
    </row>
    <row r="276" spans="3:12" x14ac:dyDescent="0.25">
      <c r="D276" t="str">
        <f ca="1">H286</f>
        <v>Christmas</v>
      </c>
      <c r="E276" t="str">
        <f ca="1">H287</f>
        <v>Jessica</v>
      </c>
      <c r="G276" t="str">
        <f ca="1">IF(G277=D274,D275,D274)</f>
        <v>Paul</v>
      </c>
      <c r="H276" s="1"/>
      <c r="I276" s="1"/>
    </row>
    <row r="277" spans="3:12" x14ac:dyDescent="0.25">
      <c r="D277" t="str">
        <f ca="1">I286</f>
        <v/>
      </c>
      <c r="E277" t="str">
        <f ca="1">I287</f>
        <v/>
      </c>
      <c r="G277" t="str">
        <f ca="1">IF(C275=D274,C275,D275)</f>
        <v>Megan</v>
      </c>
    </row>
    <row r="278" spans="3:12" x14ac:dyDescent="0.25">
      <c r="K278" s="1"/>
      <c r="L278" s="1"/>
    </row>
    <row r="279" spans="3:12" x14ac:dyDescent="0.25">
      <c r="C279" t="str">
        <f t="shared" ref="C279:C294" ca="1" si="27">C249</f>
        <v>Alex</v>
      </c>
      <c r="D279">
        <f t="shared" ref="D279:D294" ca="1" si="28">IF(C279=$G$261,"",IF(C279=$F$228,"",RAND()))</f>
        <v>0.91267546135037037</v>
      </c>
      <c r="E279">
        <f ca="1">IF(COUNTIF(D$276:D$277,C279)=1,"",IF(E231="","",RAND()))</f>
        <v>0.94988415035615281</v>
      </c>
      <c r="F279">
        <f t="shared" ref="F279:F295" ca="1" si="29">IF(COUNTIF(E$276:E$277,C279)=1,"",IF(E279="","",RAND()))</f>
        <v>0.93793269332736995</v>
      </c>
      <c r="G279" s="2" t="s">
        <v>104</v>
      </c>
      <c r="H279" s="1"/>
      <c r="I279" s="1"/>
      <c r="J279" s="1"/>
      <c r="K279" s="1"/>
      <c r="L279" s="1"/>
    </row>
    <row r="280" spans="3:12" x14ac:dyDescent="0.25">
      <c r="C280" t="str">
        <f t="shared" ca="1" si="27"/>
        <v>Cameron</v>
      </c>
      <c r="D280">
        <f t="shared" ca="1" si="28"/>
        <v>0.72647242060516437</v>
      </c>
      <c r="E280">
        <f t="shared" ref="E280:E295" ca="1" si="30">IF(COUNTIF($D$276:$D$277,C280)=1,"",IF(E232="","",RAND()))</f>
        <v>0.56574815612270257</v>
      </c>
      <c r="F280">
        <f t="shared" ca="1" si="29"/>
        <v>0.97086790915723309</v>
      </c>
      <c r="G280" s="1" t="str">
        <f ca="1">G261&amp;" randomly selected someone to receive a consequence earlier"</f>
        <v>Jason randomly selected someone to receive a consequence earlier</v>
      </c>
      <c r="H280" s="1"/>
      <c r="I280" s="1"/>
      <c r="J280" s="1"/>
      <c r="K280" s="1"/>
      <c r="L280" s="1"/>
    </row>
    <row r="281" spans="3:12" x14ac:dyDescent="0.25">
      <c r="C281" t="str">
        <f t="shared" ca="1" si="27"/>
        <v>Christmas</v>
      </c>
      <c r="D281">
        <f t="shared" ca="1" si="28"/>
        <v>0.67966052317149461</v>
      </c>
      <c r="E281" t="str">
        <f t="shared" ca="1" si="30"/>
        <v/>
      </c>
      <c r="F281" t="str">
        <f t="shared" ca="1" si="29"/>
        <v/>
      </c>
      <c r="G281" s="1" t="str">
        <f ca="1">"The person "&amp;G261&amp;" selected was…"</f>
        <v>The person Jason selected was…</v>
      </c>
      <c r="H281" s="1"/>
      <c r="I281" s="1"/>
      <c r="J281" s="1"/>
      <c r="K281" s="1"/>
      <c r="L281" s="1"/>
    </row>
    <row r="282" spans="3:12" x14ac:dyDescent="0.25">
      <c r="C282" t="str">
        <f t="shared" ca="1" si="27"/>
        <v>Cody</v>
      </c>
      <c r="D282">
        <f t="shared" ca="1" si="28"/>
        <v>0.6236898417967528</v>
      </c>
      <c r="E282">
        <f t="shared" ca="1" si="30"/>
        <v>0.25145494489158993</v>
      </c>
      <c r="F282">
        <f t="shared" ca="1" si="29"/>
        <v>0.35065465155662234</v>
      </c>
      <c r="G282" s="1" t="str">
        <f ca="1">INDEX(C279:C294,MATCH(SMALL(D279:D294,1),D279:D294,0))</f>
        <v>Ramses</v>
      </c>
      <c r="H282" s="1"/>
      <c r="I282" s="1"/>
      <c r="J282" s="1"/>
      <c r="K282" s="1"/>
      <c r="L282" s="1"/>
    </row>
    <row r="283" spans="3:12" x14ac:dyDescent="0.25">
      <c r="C283" t="str">
        <f t="shared" ca="1" si="27"/>
        <v>Elena</v>
      </c>
      <c r="D283">
        <f t="shared" ca="1" si="28"/>
        <v>0.87398825343067121</v>
      </c>
      <c r="E283">
        <f t="shared" ca="1" si="30"/>
        <v>0.7479889678614573</v>
      </c>
      <c r="F283">
        <f t="shared" ca="1" si="29"/>
        <v>3.9079687327552626E-2</v>
      </c>
      <c r="G283" s="1" t="str">
        <f ca="1">G282&amp;" has to go up as a 3rd nominee sometime in the next 3 weeks"</f>
        <v>Ramses has to go up as a 3rd nominee sometime in the next 3 weeks</v>
      </c>
      <c r="H283" s="1"/>
      <c r="I283" s="1"/>
      <c r="J283" s="1"/>
    </row>
    <row r="284" spans="3:12" x14ac:dyDescent="0.25">
      <c r="C284" t="str">
        <f t="shared" ca="1" si="27"/>
        <v>Jason</v>
      </c>
      <c r="D284" t="str">
        <f t="shared" ca="1" si="28"/>
        <v/>
      </c>
      <c r="E284">
        <f t="shared" ca="1" si="30"/>
        <v>0.52968919422507021</v>
      </c>
      <c r="F284">
        <f t="shared" ca="1" si="29"/>
        <v>0.81069226931672733</v>
      </c>
    </row>
    <row r="285" spans="3:12" x14ac:dyDescent="0.25">
      <c r="C285" t="str">
        <f t="shared" ca="1" si="27"/>
        <v>Jessica</v>
      </c>
      <c r="D285">
        <f t="shared" ca="1" si="28"/>
        <v>0.45476261082522218</v>
      </c>
      <c r="E285">
        <f t="shared" ca="1" si="30"/>
        <v>0.95348294421403612</v>
      </c>
      <c r="F285" t="str">
        <f t="shared" ca="1" si="29"/>
        <v/>
      </c>
      <c r="G285" s="2" t="s">
        <v>105</v>
      </c>
    </row>
    <row r="286" spans="3:12" x14ac:dyDescent="0.25">
      <c r="C286" t="str">
        <f t="shared" ca="1" si="27"/>
        <v>Jillian</v>
      </c>
      <c r="D286">
        <f t="shared" ca="1" si="28"/>
        <v>0.26526407165601273</v>
      </c>
      <c r="E286">
        <f t="shared" ca="1" si="30"/>
        <v>0.30038926994963766</v>
      </c>
      <c r="F286">
        <f t="shared" ca="1" si="29"/>
        <v>0.15319573783351403</v>
      </c>
      <c r="G286" t="str">
        <f ca="1">F227&amp;"-"</f>
        <v>Raven-</v>
      </c>
      <c r="H286" s="10" t="str">
        <f ca="1">INDEX(C231:C248,MATCH(LARGE(E231:E248,1),E231:E248,0))</f>
        <v>Christmas</v>
      </c>
      <c r="I286" s="29" t="str">
        <f ca="1">IF(H286="HGC",IF($I$26="On",C298,INDEX(C231:C247,MATCH(LARGE(F231:F247,2),F231:F247,0))),"")</f>
        <v/>
      </c>
    </row>
    <row r="287" spans="3:12" x14ac:dyDescent="0.25">
      <c r="C287" t="str">
        <f t="shared" ca="1" si="27"/>
        <v>Josh</v>
      </c>
      <c r="D287">
        <f t="shared" ca="1" si="28"/>
        <v>0.63224386366055785</v>
      </c>
      <c r="E287">
        <f t="shared" ca="1" si="30"/>
        <v>0.7020668820367808</v>
      </c>
      <c r="F287">
        <f t="shared" ca="1" si="29"/>
        <v>0.65088202689290675</v>
      </c>
      <c r="G287" t="str">
        <f ca="1">G276&amp;"-"</f>
        <v>Paul-</v>
      </c>
      <c r="H287" s="29" t="str">
        <f ca="1">INDEX(C279:C295,MATCH(LARGE(E279:E295,1),E279:E295,0))</f>
        <v>Jessica</v>
      </c>
      <c r="I287" s="29" t="str">
        <f ca="1">IF(H287="HGC",IF($I$26="On",INDEX(C301:C305,MATCH(SMALL(D301:D305,1),D301:D305,0)),INDEX(C279:C295,MATCH(LARGE(E279:E295,2),E279:E295,0))),"")</f>
        <v/>
      </c>
    </row>
    <row r="288" spans="3:12" x14ac:dyDescent="0.25">
      <c r="C288" t="str">
        <f t="shared" ca="1" si="27"/>
        <v>Kevin</v>
      </c>
      <c r="D288" t="str">
        <f t="shared" ca="1" si="28"/>
        <v/>
      </c>
      <c r="E288" t="str">
        <f t="shared" ca="1" si="30"/>
        <v/>
      </c>
      <c r="F288" t="str">
        <f t="shared" ca="1" si="29"/>
        <v/>
      </c>
      <c r="G288" t="str">
        <f ca="1">G277&amp;"-"</f>
        <v>Megan-</v>
      </c>
      <c r="H288" s="29" t="str">
        <f ca="1">INDEX(C279:C295,MATCH(LARGE(F279:F295,1),F279:F295,0))</f>
        <v>Cameron</v>
      </c>
      <c r="I288" s="29" t="str">
        <f ca="1">IF(H288="HGC",IF($I$26="On",INDEX(C336:C341,MATCH(SMALL(D336:D341,1),D336:D341,0)),INDEX(C279:C295,MATCH(LARGE(F279:F295,2),F279:F295,0))),"")</f>
        <v/>
      </c>
    </row>
    <row r="289" spans="3:10" x14ac:dyDescent="0.25">
      <c r="C289" t="str">
        <f t="shared" ca="1" si="27"/>
        <v>Mark</v>
      </c>
      <c r="D289">
        <f t="shared" ca="1" si="28"/>
        <v>0.49364264806707459</v>
      </c>
      <c r="E289">
        <f t="shared" ca="1" si="30"/>
        <v>0.71575063207772227</v>
      </c>
      <c r="F289">
        <f t="shared" ca="1" si="29"/>
        <v>0.19404646684589433</v>
      </c>
    </row>
    <row r="290" spans="3:10" x14ac:dyDescent="0.25">
      <c r="C290" t="str">
        <f t="shared" ca="1" si="27"/>
        <v>Matt</v>
      </c>
      <c r="D290">
        <f t="shared" ca="1" si="28"/>
        <v>0.76013686184390428</v>
      </c>
      <c r="E290">
        <f t="shared" ca="1" si="30"/>
        <v>1.7946106388378791E-2</v>
      </c>
      <c r="F290">
        <f t="shared" ca="1" si="29"/>
        <v>6.0740174250644263E-2</v>
      </c>
      <c r="G290" s="2" t="s">
        <v>106</v>
      </c>
      <c r="H290" s="1"/>
      <c r="I290" s="1"/>
      <c r="J290" s="1"/>
    </row>
    <row r="291" spans="3:10" x14ac:dyDescent="0.25">
      <c r="C291" t="str">
        <f t="shared" ca="1" si="27"/>
        <v>Megan</v>
      </c>
      <c r="D291">
        <f t="shared" ca="1" si="28"/>
        <v>0.50370773300804461</v>
      </c>
      <c r="E291" t="str">
        <f t="shared" ca="1" si="30"/>
        <v/>
      </c>
      <c r="F291" t="str">
        <f t="shared" ca="1" si="29"/>
        <v/>
      </c>
      <c r="G291" s="10" t="str">
        <f ca="1">F227</f>
        <v>Raven</v>
      </c>
      <c r="H291" s="10" t="str">
        <f ca="1">G276</f>
        <v>Paul</v>
      </c>
      <c r="I291" s="10" t="str">
        <f ca="1">G277</f>
        <v>Megan</v>
      </c>
      <c r="J291" s="1"/>
    </row>
    <row r="292" spans="3:10" x14ac:dyDescent="0.25">
      <c r="C292" t="str">
        <f t="shared" ca="1" si="27"/>
        <v>Paul</v>
      </c>
      <c r="D292">
        <f t="shared" ca="1" si="28"/>
        <v>0.54540822474871975</v>
      </c>
      <c r="E292" t="str">
        <f t="shared" ca="1" si="30"/>
        <v/>
      </c>
      <c r="F292" t="str">
        <f t="shared" ca="1" si="29"/>
        <v/>
      </c>
      <c r="G292" s="10" t="str">
        <f ca="1">IF(H286="HGC",I286,H286)</f>
        <v>Christmas</v>
      </c>
      <c r="H292" s="10" t="str">
        <f ca="1">IF(H287="HGC",I287,H287)</f>
        <v>Jessica</v>
      </c>
      <c r="I292" s="10" t="str">
        <f ca="1">IF(H288="HGC",I288,H288)</f>
        <v>Cameron</v>
      </c>
      <c r="J292" s="1"/>
    </row>
    <row r="293" spans="3:10" x14ac:dyDescent="0.25">
      <c r="C293" t="str">
        <f t="shared" ca="1" si="27"/>
        <v>Ramses</v>
      </c>
      <c r="D293">
        <f t="shared" ca="1" si="28"/>
        <v>5.527488370768685E-2</v>
      </c>
      <c r="E293">
        <f t="shared" ca="1" si="30"/>
        <v>0.74482314392103854</v>
      </c>
      <c r="F293">
        <f t="shared" ca="1" si="29"/>
        <v>0.18717081510450906</v>
      </c>
      <c r="G293" s="1" t="s">
        <v>107</v>
      </c>
      <c r="H293" s="1" t="str">
        <f ca="1">IF(COUNTIF(H288:I288,E304)=1,E305,E304)</f>
        <v>Alex</v>
      </c>
      <c r="I293" s="1"/>
      <c r="J293" s="1"/>
    </row>
    <row r="294" spans="3:10" x14ac:dyDescent="0.25">
      <c r="C294" t="str">
        <f t="shared" ca="1" si="27"/>
        <v>Raven</v>
      </c>
      <c r="D294">
        <f t="shared" ca="1" si="28"/>
        <v>0.87598691304314646</v>
      </c>
      <c r="E294" t="str">
        <f t="shared" ca="1" si="30"/>
        <v/>
      </c>
      <c r="F294" t="str">
        <f t="shared" ca="1" si="29"/>
        <v/>
      </c>
      <c r="G294" s="1"/>
      <c r="H294" s="1"/>
      <c r="I294" s="1"/>
      <c r="J294" s="1"/>
    </row>
    <row r="295" spans="3:10" x14ac:dyDescent="0.25">
      <c r="C295" t="s">
        <v>89</v>
      </c>
      <c r="E295">
        <f t="shared" ca="1" si="30"/>
        <v>0.75385904572121676</v>
      </c>
      <c r="F295">
        <f t="shared" ca="1" si="29"/>
        <v>0.37065191555379517</v>
      </c>
      <c r="G295" s="1" t="s">
        <v>108</v>
      </c>
      <c r="H295" s="1"/>
      <c r="I295" s="1"/>
      <c r="J295" s="1"/>
    </row>
    <row r="296" spans="3:10" x14ac:dyDescent="0.25">
      <c r="E296" t="str">
        <f ca="1">F228</f>
        <v>Kevin</v>
      </c>
      <c r="G296" s="1" t="s">
        <v>109</v>
      </c>
      <c r="H296" s="1"/>
      <c r="I296" s="1"/>
      <c r="J296" s="1"/>
    </row>
    <row r="297" spans="3:10" x14ac:dyDescent="0.25">
      <c r="C297" t="str">
        <f ca="1">F227</f>
        <v>Raven</v>
      </c>
      <c r="E297" s="1" t="str">
        <f ca="1">G291</f>
        <v>Raven</v>
      </c>
      <c r="F297" s="1">
        <f t="shared" ref="F297:F302" ca="1" si="31">RAND()</f>
        <v>0.29916545819059503</v>
      </c>
      <c r="G297" s="1" t="s">
        <v>110</v>
      </c>
      <c r="H297" s="1"/>
      <c r="I297" s="1"/>
      <c r="J297" s="1"/>
    </row>
    <row r="298" spans="3:10" x14ac:dyDescent="0.25">
      <c r="C298" t="str">
        <f ca="1">INDEX(Sheet4!B49:R49,MATCH(Game!C297,Sheet4!B48:R48,0))</f>
        <v>Jessica</v>
      </c>
      <c r="E298" s="1" t="str">
        <f ca="1">H291</f>
        <v>Paul</v>
      </c>
      <c r="F298" s="1">
        <f t="shared" ca="1" si="31"/>
        <v>0.73933214601651065</v>
      </c>
      <c r="G298" s="1" t="str">
        <f ca="1">E303&amp;" finds it first and is now a Never Not!"</f>
        <v>Jessica finds it first and is now a Never Not!</v>
      </c>
      <c r="H298" s="1"/>
      <c r="I298" s="1"/>
      <c r="J298" s="1"/>
    </row>
    <row r="299" spans="3:10" x14ac:dyDescent="0.25">
      <c r="E299" s="1" t="str">
        <f ca="1">I291</f>
        <v>Megan</v>
      </c>
      <c r="F299" s="1">
        <f t="shared" ca="1" si="31"/>
        <v>0.61399951683421261</v>
      </c>
      <c r="G299" s="1" t="str">
        <f ca="1">IF(COUNTIF(C223:C227,E303)=1,E303&amp;" is no longer a Have Not","")</f>
        <v>Jessica is no longer a Have Not</v>
      </c>
      <c r="H299" s="1"/>
      <c r="I299" s="1"/>
      <c r="J299" s="1"/>
    </row>
    <row r="300" spans="3:10" x14ac:dyDescent="0.25">
      <c r="C300" t="str">
        <f ca="1">G276</f>
        <v>Paul</v>
      </c>
      <c r="E300" s="1" t="str">
        <f ca="1">G292</f>
        <v>Christmas</v>
      </c>
      <c r="F300" s="1">
        <f t="shared" ca="1" si="31"/>
        <v>0.25915667226232109</v>
      </c>
      <c r="G300" s="1" t="s">
        <v>49</v>
      </c>
      <c r="H300" s="1" t="str">
        <f ca="1">INDEX(E297:E302,RANK(F298,F297:F302))</f>
        <v>Raven</v>
      </c>
      <c r="I300" s="1"/>
      <c r="J300" s="1"/>
    </row>
    <row r="301" spans="3:10" x14ac:dyDescent="0.25">
      <c r="C301" t="str">
        <f ca="1">INDEX(Sheet4!B49:R49,MATCH(Game!C$300,Sheet4!$B$48:$R$48,0))</f>
        <v>Megan</v>
      </c>
      <c r="D301" t="str">
        <f ca="1">IF(COUNTIF($E$296:$E$300,C301)=1,"",1)</f>
        <v/>
      </c>
      <c r="E301" s="1" t="str">
        <f ca="1">H292</f>
        <v>Jessica</v>
      </c>
      <c r="F301" s="1">
        <f t="shared" ca="1" si="31"/>
        <v>0.38788922475239318</v>
      </c>
      <c r="G301" s="1" t="s">
        <v>50</v>
      </c>
      <c r="H301" s="1" t="str">
        <f ca="1">INDEX(E297:E302,RANK(F299,F297:F302))</f>
        <v>Paul</v>
      </c>
      <c r="I301" s="1"/>
      <c r="J301" s="1"/>
    </row>
    <row r="302" spans="3:10" x14ac:dyDescent="0.25">
      <c r="C302" t="str">
        <f ca="1">INDEX(Sheet4!B50:R50,MATCH(Game!C$300,Sheet4!$B$48:$R$48,0))</f>
        <v>Jillian</v>
      </c>
      <c r="D302">
        <f ca="1">IF(COUNTIF($E$296:$E$300,C302)=1,"",2)</f>
        <v>2</v>
      </c>
      <c r="E302" s="1" t="str">
        <f ca="1">I292</f>
        <v>Cameron</v>
      </c>
      <c r="F302" s="1">
        <f t="shared" ca="1" si="31"/>
        <v>0.38457997632335794</v>
      </c>
      <c r="G302" s="1" t="s">
        <v>52</v>
      </c>
      <c r="H302" s="1" t="str">
        <f ca="1">INDEX(E297:E302,RANK(F300,F297:F302))</f>
        <v>Cameron</v>
      </c>
      <c r="I302" s="1"/>
      <c r="J302" s="1"/>
    </row>
    <row r="303" spans="3:10" x14ac:dyDescent="0.25">
      <c r="C303" t="str">
        <f ca="1">INDEX(Sheet4!B51:R51,MATCH(Game!C$300,Sheet4!$B$48:$R$48,0))</f>
        <v>Ramses</v>
      </c>
      <c r="D303">
        <f ca="1">IF(COUNTIF($E$296:$E$300,C303)=1,"",3)</f>
        <v>3</v>
      </c>
      <c r="E303" s="1" t="str">
        <f ca="1">INDEX(E297:E302,RANK(F297,F297:F302))</f>
        <v>Jessica</v>
      </c>
      <c r="F303" s="1"/>
      <c r="G303" s="1" t="s">
        <v>53</v>
      </c>
      <c r="H303" s="1" t="str">
        <f ca="1">INDEX(E297:E302,RANK(F301,F297:F302))</f>
        <v>Megan</v>
      </c>
      <c r="I303" s="1"/>
      <c r="J303" s="1"/>
    </row>
    <row r="304" spans="3:10" x14ac:dyDescent="0.25">
      <c r="C304" t="str">
        <f ca="1">INDEX(Sheet4!B52:R52,MATCH(Game!C$300,Sheet4!$B$48:$R$48,0))</f>
        <v>Matt</v>
      </c>
      <c r="D304">
        <f ca="1">IF(COUNTIF($E$296:$E$300,C304)=1,"",4)</f>
        <v>4</v>
      </c>
      <c r="E304" t="str">
        <f ca="1">INDEX(C279:C294,MATCH(LARGE(F279:F294,2),F279:F294,0))</f>
        <v>Alex</v>
      </c>
      <c r="G304" s="1" t="s">
        <v>54</v>
      </c>
      <c r="H304" s="1" t="str">
        <f ca="1">INDEX(E297:E302,RANK(F302,F297:F302))</f>
        <v>Christmas</v>
      </c>
      <c r="I304" s="1"/>
      <c r="J304" s="1"/>
    </row>
    <row r="305" spans="3:12" x14ac:dyDescent="0.25">
      <c r="C305" t="str">
        <f ca="1">INDEX(Sheet4!B53:R53,MATCH(Game!C$300,Sheet4!$B$48:$R$48,0))</f>
        <v>Christmas</v>
      </c>
      <c r="D305" t="str">
        <f ca="1">IF(COUNTIF($E$296:$E$300,C305)=1,"",5)</f>
        <v/>
      </c>
      <c r="E305" t="str">
        <f ca="1">INDEX(C279:C294,MATCH(LARGE(F279:F294,3),F279:F294,0))</f>
        <v>Jason</v>
      </c>
      <c r="G305" s="1" t="str">
        <f ca="1">"Congratulations, "&amp;H304</f>
        <v>Congratulations, Christmas</v>
      </c>
      <c r="H305" s="1"/>
      <c r="I305" s="1"/>
      <c r="J305" s="1"/>
    </row>
    <row r="307" spans="3:12" x14ac:dyDescent="0.25">
      <c r="C307" s="1" t="str">
        <f ca="1">G276</f>
        <v>Paul</v>
      </c>
      <c r="D307" s="1" t="str">
        <f ca="1">G277</f>
        <v>Megan</v>
      </c>
      <c r="E307" s="1" t="str">
        <f ca="1">F227</f>
        <v>Raven</v>
      </c>
      <c r="F307" s="1" t="str">
        <f ca="1">F228</f>
        <v>Kevin</v>
      </c>
      <c r="G307" s="2" t="s">
        <v>111</v>
      </c>
      <c r="H307" s="1"/>
    </row>
    <row r="308" spans="3:12" x14ac:dyDescent="0.25">
      <c r="C308" s="1" t="str">
        <f ca="1">H304</f>
        <v>Christmas</v>
      </c>
      <c r="D308" s="1" t="str">
        <f ca="1">G195</f>
        <v>Matt</v>
      </c>
      <c r="E308" s="1" t="str">
        <f ca="1">G261</f>
        <v>Jason</v>
      </c>
      <c r="F308" s="1"/>
      <c r="G308" s="1" t="str">
        <f ca="1">H304&amp;" has decided to use the POV to save…"</f>
        <v>Christmas has decided to use the POV to save…</v>
      </c>
      <c r="H308" s="1"/>
    </row>
    <row r="309" spans="3:12" x14ac:dyDescent="0.25">
      <c r="C309" s="1"/>
      <c r="D309" s="1" t="str">
        <f ca="1">IF(G309="Neither Nominee","",G309)</f>
        <v/>
      </c>
      <c r="E309" s="1"/>
      <c r="F309" s="1">
        <f ca="1">RANDBETWEEN(1,4)</f>
        <v>4</v>
      </c>
      <c r="G309" s="1" t="str">
        <f ca="1">IF($I$26="On",Sheet4!A69,IF(COUNTIF(G276:G277,H304)=1,H304,IF(F309=1,G276,IF(F309=2,G277,"Neither Nominee"))))</f>
        <v>Neither Nominee</v>
      </c>
      <c r="H309" s="1"/>
    </row>
    <row r="310" spans="3:12" x14ac:dyDescent="0.25">
      <c r="C310" s="1"/>
      <c r="D310" s="1"/>
      <c r="E310" s="1"/>
      <c r="F310" s="1"/>
      <c r="G310" s="1" t="str">
        <f ca="1">IF(G270="",G261&amp;" stands up and reveals The Pendant of Protection","")</f>
        <v>Jason stands up and reveals The Pendant of Protection</v>
      </c>
      <c r="H310" s="1"/>
      <c r="L310" t="str">
        <f ca="1">IF(G309=G313,L311,"")</f>
        <v/>
      </c>
    </row>
    <row r="311" spans="3:12" x14ac:dyDescent="0.25">
      <c r="C311" s="1" t="str">
        <f ca="1">G276</f>
        <v>Paul</v>
      </c>
      <c r="D311" s="1" t="str">
        <f ca="1">IF(C311=G309,C312,C311)</f>
        <v>Paul</v>
      </c>
      <c r="E311" s="1" t="str">
        <f ca="1">IF(D311=F312,D312,D311)</f>
        <v>Paul</v>
      </c>
      <c r="F311" s="1"/>
      <c r="G311" s="1" t="str">
        <f ca="1">IF(G310="","",G261&amp;" is immune for the next 3 evictions")</f>
        <v>Jason is immune for the next 3 evictions</v>
      </c>
      <c r="H311" s="1"/>
      <c r="L311" t="str">
        <f ca="1">L310</f>
        <v/>
      </c>
    </row>
    <row r="312" spans="3:12" x14ac:dyDescent="0.25">
      <c r="C312" s="1" t="str">
        <f ca="1">G277</f>
        <v>Megan</v>
      </c>
      <c r="D312" s="1" t="str">
        <f ca="1">IF(D311=C312,"",IF(C312=G309,"",C312))</f>
        <v>Megan</v>
      </c>
      <c r="E312" s="1" t="str">
        <f ca="1">IF(D312=F312,"",IF(D312=F312,"",D312))</f>
        <v>Megan</v>
      </c>
      <c r="F312" s="1"/>
      <c r="G312" s="1" t="str">
        <f ca="1">IF(G309="Neither Nominee","",F227&amp;" has decided to put up")</f>
        <v/>
      </c>
      <c r="H312" s="1"/>
    </row>
    <row r="313" spans="3:12" x14ac:dyDescent="0.25">
      <c r="C313" s="1"/>
      <c r="D313" s="1"/>
      <c r="E313" s="1"/>
      <c r="F313" s="1"/>
      <c r="G313" s="1" t="str">
        <f ca="1">IF($I$26="On",IF(E318=0,"",E314),INDEX(C249:C264,MATCH(LARGE(E249:E264,1),E249:E264,0)))</f>
        <v/>
      </c>
      <c r="H313" s="1"/>
    </row>
    <row r="314" spans="3:12" x14ac:dyDescent="0.25">
      <c r="C314" s="1" t="str">
        <f ca="1">D217</f>
        <v>Mark</v>
      </c>
      <c r="D314" s="1">
        <f ca="1">IF(COUNTIF(C307:F308,C314)&gt;=1,"",1)</f>
        <v>1</v>
      </c>
      <c r="E314" s="1" t="str">
        <f ca="1">INDEX(C314:C317,MATCH(SMALL(D314:D317,1),D314:D317,0))</f>
        <v>Mark</v>
      </c>
      <c r="F314" s="1"/>
      <c r="G314" s="1" t="s">
        <v>112</v>
      </c>
      <c r="H314" s="1"/>
    </row>
    <row r="315" spans="3:12" x14ac:dyDescent="0.25">
      <c r="C315" s="1" t="str">
        <f ca="1">D218</f>
        <v>Josh</v>
      </c>
      <c r="D315" s="1">
        <f ca="1">IF(COUNTIF(C307:F308,C315)&gt;=1,"",2)</f>
        <v>2</v>
      </c>
      <c r="E315" s="1" t="str">
        <f ca="1">INDEX(C314:C317,MATCH(SMALL(D314:D317,2),D314:D317,0))</f>
        <v>Josh</v>
      </c>
      <c r="F315" s="1"/>
      <c r="G315" s="1" t="str">
        <f ca="1">IF(G276=G309,G313,G276)</f>
        <v>Paul</v>
      </c>
      <c r="H315" s="1"/>
    </row>
    <row r="316" spans="3:12" x14ac:dyDescent="0.25">
      <c r="C316" s="1" t="str">
        <f ca="1">D219</f>
        <v>Jillian</v>
      </c>
      <c r="D316" s="1">
        <f ca="1">IF(COUNTIF(C307:F308,C316)&gt;=1,"",3)</f>
        <v>3</v>
      </c>
      <c r="E316" s="1">
        <f ca="1">IF(G309="Neither Nominee",0,1)</f>
        <v>0</v>
      </c>
      <c r="F316" s="1"/>
      <c r="G316" s="1" t="str">
        <f ca="1">IF(G277=G309,G313,G277)</f>
        <v>Megan</v>
      </c>
      <c r="H316" s="1"/>
    </row>
    <row r="317" spans="3:12" x14ac:dyDescent="0.25">
      <c r="C317" s="1" t="str">
        <f ca="1">D220</f>
        <v>Jason</v>
      </c>
      <c r="D317" s="1" t="str">
        <f ca="1">IF(COUNTIF(C307:F308,C317)&gt;=1,"",4)</f>
        <v/>
      </c>
      <c r="E317" s="1"/>
      <c r="F317" s="1"/>
      <c r="H317" s="1"/>
    </row>
    <row r="318" spans="3:12" x14ac:dyDescent="0.25">
      <c r="C318" s="1"/>
      <c r="D318" s="1"/>
      <c r="E318" s="1">
        <f ca="1">E316+E317</f>
        <v>0</v>
      </c>
      <c r="F318" s="1"/>
      <c r="G318" s="2" t="s">
        <v>114</v>
      </c>
      <c r="H318" s="1"/>
    </row>
    <row r="319" spans="3:12" x14ac:dyDescent="0.25">
      <c r="C319" s="1"/>
      <c r="D319" s="1"/>
      <c r="E319" s="1" t="str">
        <f ca="1">F228</f>
        <v>Kevin</v>
      </c>
      <c r="F319" s="1" t="str">
        <f ca="1">F227</f>
        <v>Raven</v>
      </c>
      <c r="G319" s="14" t="str">
        <f ca="1">G315</f>
        <v>Paul</v>
      </c>
      <c r="H319" s="14" t="str">
        <f ca="1">G316</f>
        <v>Megan</v>
      </c>
    </row>
    <row r="320" spans="3:12" x14ac:dyDescent="0.25">
      <c r="C320" s="1" t="str">
        <f t="shared" ref="C320:C335" ca="1" si="32">C249</f>
        <v>Alex</v>
      </c>
      <c r="D320" s="1">
        <f t="shared" ref="D320:D335" ca="1" si="33">IF(COUNTIF($E$319:$H$319,C320)=1,"",RAND())</f>
        <v>0.24893129103190814</v>
      </c>
      <c r="E320" s="1"/>
      <c r="F320" s="1"/>
      <c r="G320" s="1"/>
      <c r="H320" s="1"/>
    </row>
    <row r="321" spans="3:8" x14ac:dyDescent="0.25">
      <c r="C321" s="1" t="str">
        <f t="shared" ca="1" si="32"/>
        <v>Cameron</v>
      </c>
      <c r="D321" s="1">
        <f t="shared" ca="1" si="33"/>
        <v>0.7439148489702998</v>
      </c>
      <c r="E321" s="1" t="str">
        <f ca="1">INDEX(C320:C335,MATCH(LARGE(D320:D335,1),D320:D335,0))</f>
        <v>Ramses</v>
      </c>
      <c r="F321" s="1"/>
      <c r="G321" s="1" t="str">
        <f t="shared" ref="G321:G332" ca="1" si="34">E321&amp;"-"</f>
        <v>Ramses-</v>
      </c>
      <c r="H321" s="1" t="str">
        <f ca="1">IF($I$26="On",INDEX(Sheet4!$B$74:$R$74,MATCH(Game!E321,Sheet4!$B$71:$R$71,0)),IF(RANDBETWEEN(1,2)=1,$G$319,$H$319))</f>
        <v>Megan</v>
      </c>
    </row>
    <row r="322" spans="3:8" x14ac:dyDescent="0.25">
      <c r="C322" s="1" t="str">
        <f t="shared" ca="1" si="32"/>
        <v>Christmas</v>
      </c>
      <c r="D322" s="1">
        <f t="shared" ca="1" si="33"/>
        <v>0.83212134862808262</v>
      </c>
      <c r="E322" s="1" t="str">
        <f ca="1">INDEX(C320:C335,MATCH(LARGE(D320:D335,2),D320:D335,0))</f>
        <v>Elena</v>
      </c>
      <c r="F322" s="1"/>
      <c r="G322" s="1" t="str">
        <f t="shared" ca="1" si="34"/>
        <v>Elena-</v>
      </c>
      <c r="H322" s="1" t="str">
        <f ca="1">IF($I$26="On",INDEX(Sheet4!$B$74:$R$74,MATCH(Game!E322,Sheet4!$B$71:$R$71,0)),IF(RANDBETWEEN(1,2)=1,$G$319,$H$319))</f>
        <v>Megan</v>
      </c>
    </row>
    <row r="323" spans="3:8" x14ac:dyDescent="0.25">
      <c r="C323" s="1" t="str">
        <f t="shared" ca="1" si="32"/>
        <v>Cody</v>
      </c>
      <c r="D323" s="1">
        <f t="shared" ca="1" si="33"/>
        <v>0.41370023791906296</v>
      </c>
      <c r="E323" s="1" t="str">
        <f ca="1">INDEX(C320:C335,MATCH(LARGE(D320:D335,3),D320:D335,0))</f>
        <v>Christmas</v>
      </c>
      <c r="F323" s="1"/>
      <c r="G323" s="1" t="str">
        <f t="shared" ca="1" si="34"/>
        <v>Christmas-</v>
      </c>
      <c r="H323" s="1" t="str">
        <f ca="1">IF($I$26="On",INDEX(Sheet4!$B$74:$R$74,MATCH(Game!E323,Sheet4!$B$71:$R$71,0)),IF(RANDBETWEEN(1,2)=1,$G$319,$H$319))</f>
        <v>Megan</v>
      </c>
    </row>
    <row r="324" spans="3:8" x14ac:dyDescent="0.25">
      <c r="C324" s="1" t="str">
        <f t="shared" ca="1" si="32"/>
        <v>Elena</v>
      </c>
      <c r="D324" s="1">
        <f t="shared" ca="1" si="33"/>
        <v>0.8593981381626733</v>
      </c>
      <c r="E324" s="1" t="str">
        <f ca="1">INDEX(C320:C335,MATCH(LARGE(D320:D335,4),D320:D335,0))</f>
        <v>Matt</v>
      </c>
      <c r="F324" s="1"/>
      <c r="G324" s="1" t="str">
        <f t="shared" ca="1" si="34"/>
        <v>Matt-</v>
      </c>
      <c r="H324" s="1" t="str">
        <f ca="1">IF($I$26="On",INDEX(Sheet4!$B$74:$R$74,MATCH(Game!E324,Sheet4!$B$71:$R$71,0)),IF(RANDBETWEEN(1,2)=1,$G$319,$H$319))</f>
        <v>Paul</v>
      </c>
    </row>
    <row r="325" spans="3:8" x14ac:dyDescent="0.25">
      <c r="C325" s="1" t="str">
        <f t="shared" ca="1" si="32"/>
        <v>Jason</v>
      </c>
      <c r="D325" s="1">
        <f t="shared" ca="1" si="33"/>
        <v>0.68108985845418601</v>
      </c>
      <c r="E325" s="1" t="str">
        <f ca="1">INDEX(C320:C335,MATCH(LARGE(D320:D335,5),D320:D335,0))</f>
        <v>Cameron</v>
      </c>
      <c r="F325" s="1"/>
      <c r="G325" s="1" t="str">
        <f t="shared" ca="1" si="34"/>
        <v>Cameron-</v>
      </c>
      <c r="H325" s="1" t="str">
        <f ca="1">IF($I$26="On",INDEX(Sheet4!$B$74:$R$74,MATCH(Game!E325,Sheet4!$B$71:$R$71,0)),IF(RANDBETWEEN(1,2)=1,$G$319,$H$319))</f>
        <v>Paul</v>
      </c>
    </row>
    <row r="326" spans="3:8" x14ac:dyDescent="0.25">
      <c r="C326" s="1" t="str">
        <f t="shared" ca="1" si="32"/>
        <v>Jessica</v>
      </c>
      <c r="D326" s="1">
        <f t="shared" ca="1" si="33"/>
        <v>0.57769942227845339</v>
      </c>
      <c r="E326" s="1" t="str">
        <f ca="1">INDEX(C320:C335,MATCH(LARGE(D320:D335,6),D320:D335,0))</f>
        <v>Jason</v>
      </c>
      <c r="F326" s="1"/>
      <c r="G326" s="1" t="str">
        <f t="shared" ca="1" si="34"/>
        <v>Jason-</v>
      </c>
      <c r="H326" s="1" t="str">
        <f ca="1">IF($I$26="On",INDEX(Sheet4!$B$74:$R$74,MATCH(Game!E326,Sheet4!$B$71:$R$71,0)),IF(RANDBETWEEN(1,2)=1,$G$319,$H$319))</f>
        <v>Paul</v>
      </c>
    </row>
    <row r="327" spans="3:8" x14ac:dyDescent="0.25">
      <c r="C327" s="1" t="str">
        <f t="shared" ca="1" si="32"/>
        <v>Jillian</v>
      </c>
      <c r="D327" s="1">
        <f t="shared" ca="1" si="33"/>
        <v>0.65983730932441031</v>
      </c>
      <c r="E327" s="1" t="str">
        <f ca="1">INDEX(C320:C335,MATCH(LARGE(D320:D335,7),D320:D335,0))</f>
        <v>Jillian</v>
      </c>
      <c r="F327" s="1"/>
      <c r="G327" s="1" t="str">
        <f t="shared" ca="1" si="34"/>
        <v>Jillian-</v>
      </c>
      <c r="H327" s="1" t="str">
        <f ca="1">IF($I$26="On",INDEX(Sheet4!$B$74:$R$74,MATCH(Game!E327,Sheet4!$B$71:$R$71,0)),IF(RANDBETWEEN(1,2)=1,$G$319,$H$319))</f>
        <v>Megan</v>
      </c>
    </row>
    <row r="328" spans="3:8" x14ac:dyDescent="0.25">
      <c r="C328" s="1" t="str">
        <f t="shared" ca="1" si="32"/>
        <v>Josh</v>
      </c>
      <c r="D328" s="1">
        <f t="shared" ca="1" si="33"/>
        <v>0.18348939624854432</v>
      </c>
      <c r="E328" s="1" t="str">
        <f ca="1">INDEX(C320:C335,MATCH(LARGE(D320:D335,8),D320:D335,0))</f>
        <v>Jessica</v>
      </c>
      <c r="F328" s="1"/>
      <c r="G328" s="1" t="str">
        <f t="shared" ca="1" si="34"/>
        <v>Jessica-</v>
      </c>
      <c r="H328" s="1" t="str">
        <f ca="1">IF($I$26="On",INDEX(Sheet4!$B$74:$R$74,MATCH(Game!E328,Sheet4!$B$71:$R$71,0)),IF(RANDBETWEEN(1,2)=1,$G$319,$H$319))</f>
        <v>Megan</v>
      </c>
    </row>
    <row r="329" spans="3:8" x14ac:dyDescent="0.25">
      <c r="C329" s="1" t="str">
        <f t="shared" ca="1" si="32"/>
        <v>Kevin</v>
      </c>
      <c r="D329" s="1" t="str">
        <f t="shared" ca="1" si="33"/>
        <v/>
      </c>
      <c r="E329" s="1" t="str">
        <f ca="1">INDEX(C320:C335,MATCH(LARGE(D320:D335,9),D320:D335,0))</f>
        <v>Cody</v>
      </c>
      <c r="F329" s="1"/>
      <c r="G329" s="1" t="str">
        <f t="shared" ca="1" si="34"/>
        <v>Cody-</v>
      </c>
      <c r="H329" s="1" t="str">
        <f ca="1">IF($I$26="On",INDEX(Sheet4!$B$74:$R$74,MATCH(Game!E329,Sheet4!$B$71:$R$71,0)),IF(RANDBETWEEN(1,2)=1,$G$319,$H$319))</f>
        <v>Megan</v>
      </c>
    </row>
    <row r="330" spans="3:8" x14ac:dyDescent="0.25">
      <c r="C330" s="1" t="str">
        <f t="shared" ca="1" si="32"/>
        <v>Mark</v>
      </c>
      <c r="D330" s="1">
        <f t="shared" ca="1" si="33"/>
        <v>0.31422949113171084</v>
      </c>
      <c r="E330" s="1" t="str">
        <f ca="1">INDEX(C320:C335,MATCH(LARGE(D320:D335,10),D320:D335,0))</f>
        <v>Mark</v>
      </c>
      <c r="F330" s="1"/>
      <c r="G330" s="1" t="str">
        <f t="shared" ca="1" si="34"/>
        <v>Mark-</v>
      </c>
      <c r="H330" s="1" t="str">
        <f ca="1">IF($I$26="On",INDEX(Sheet4!$B$74:$R$74,MATCH(Game!E330,Sheet4!$B$71:$R$71,0)),IF(RANDBETWEEN(1,2)=1,$G$319,$H$319))</f>
        <v>Megan</v>
      </c>
    </row>
    <row r="331" spans="3:8" x14ac:dyDescent="0.25">
      <c r="C331" s="1" t="str">
        <f t="shared" ca="1" si="32"/>
        <v>Matt</v>
      </c>
      <c r="D331" s="1">
        <f t="shared" ca="1" si="33"/>
        <v>0.82903551137874831</v>
      </c>
      <c r="E331" s="1" t="str">
        <f ca="1">INDEX(C320:C335,MATCH(LARGE(D320:D335,11),D320:D335,0))</f>
        <v>Alex</v>
      </c>
      <c r="F331" s="1"/>
      <c r="G331" s="1" t="str">
        <f t="shared" ca="1" si="34"/>
        <v>Alex-</v>
      </c>
      <c r="H331" s="1" t="str">
        <f ca="1">IF($I$26="On",INDEX(Sheet4!$B$74:$R$74,MATCH(Game!E331,Sheet4!$B$71:$R$71,0)),IF(RANDBETWEEN(1,2)=1,$G$319,$H$319))</f>
        <v>Paul</v>
      </c>
    </row>
    <row r="332" spans="3:8" x14ac:dyDescent="0.25">
      <c r="C332" s="1" t="str">
        <f t="shared" ca="1" si="32"/>
        <v>Megan</v>
      </c>
      <c r="D332" s="1" t="str">
        <f t="shared" ca="1" si="33"/>
        <v/>
      </c>
      <c r="E332" s="1" t="str">
        <f ca="1">INDEX(C320:C335,MATCH(LARGE(D320:D335,12),D320:D335,0))</f>
        <v>Josh</v>
      </c>
      <c r="F332" s="1"/>
      <c r="G332" s="1" t="str">
        <f t="shared" ca="1" si="34"/>
        <v>Josh-</v>
      </c>
      <c r="H332" s="1" t="str">
        <f ca="1">IF($I$26="On",INDEX(Sheet4!$B$74:$R$74,MATCH(Game!E332,Sheet4!$B$71:$R$71,0)),IF(RANDBETWEEN(1,2)=1,$G$319,$H$319))</f>
        <v>Paul</v>
      </c>
    </row>
    <row r="333" spans="3:8" x14ac:dyDescent="0.25">
      <c r="C333" s="1" t="str">
        <f t="shared" ca="1" si="32"/>
        <v>Paul</v>
      </c>
      <c r="D333" s="1" t="str">
        <f t="shared" ca="1" si="33"/>
        <v/>
      </c>
      <c r="E333" t="str">
        <f ca="1">F319</f>
        <v>Raven</v>
      </c>
      <c r="G333" s="1"/>
      <c r="H333" s="1"/>
    </row>
    <row r="334" spans="3:8" x14ac:dyDescent="0.25">
      <c r="C334" s="1" t="str">
        <f t="shared" ca="1" si="32"/>
        <v>Ramses</v>
      </c>
      <c r="D334" s="1">
        <f t="shared" ca="1" si="33"/>
        <v>0.90369941114478725</v>
      </c>
      <c r="E334" s="1" t="str">
        <f ca="1">G319</f>
        <v>Paul</v>
      </c>
      <c r="F334" s="1">
        <f ca="1">COUNTIF(H321:H333,E334)</f>
        <v>5</v>
      </c>
      <c r="G334" s="1" t="str">
        <f ca="1">IF(F334=F335,"We have a tie!","")</f>
        <v/>
      </c>
      <c r="H334" s="1"/>
    </row>
    <row r="335" spans="3:8" x14ac:dyDescent="0.25">
      <c r="C335" s="1" t="str">
        <f t="shared" ca="1" si="32"/>
        <v>Raven</v>
      </c>
      <c r="D335" s="1" t="str">
        <f t="shared" ca="1" si="33"/>
        <v/>
      </c>
      <c r="E335" s="1" t="str">
        <f ca="1">H319</f>
        <v>Megan</v>
      </c>
      <c r="F335" s="1">
        <f ca="1">COUNTIF(H321:H333,E335)</f>
        <v>7</v>
      </c>
      <c r="G335" s="1" t="str">
        <f ca="1">IF(G334="","",F319&amp;", the HOH, will break the tie")</f>
        <v/>
      </c>
      <c r="H335" s="1"/>
    </row>
    <row r="336" spans="3:8" x14ac:dyDescent="0.25">
      <c r="C336" t="str">
        <f ca="1">INDEX(Sheet4!B49:R49,MATCH($G$277,Sheet4!$B$48:$R$48,0))</f>
        <v>Jason</v>
      </c>
      <c r="D336">
        <f ca="1">IF(COUNTIF($E$296:$E$301,C336)=1,"",1)</f>
        <v>1</v>
      </c>
      <c r="E336" s="1"/>
      <c r="F336" s="1"/>
      <c r="G336" s="1" t="str">
        <f ca="1">IF(G335="","",F319&amp;"-")</f>
        <v/>
      </c>
      <c r="H336" s="1" t="str">
        <f ca="1">IF(G336="","",IF($I$26="On",INDEX(Sheet4!$B$74:$R$74,MATCH(Game!E332,Sheet4!$B$71:$R$71,0)),IF(RANDBETWEEN(1,2)=1,G319,H319)))</f>
        <v/>
      </c>
    </row>
    <row r="337" spans="3:12" x14ac:dyDescent="0.25">
      <c r="C337" t="str">
        <f ca="1">INDEX(Sheet4!B50:R50,MATCH($G$277,Sheet4!$B$48:$R$48,0))</f>
        <v>Paul</v>
      </c>
      <c r="D337" t="str">
        <f ca="1">IF(COUNTIF($E$296:$E$301,C337)=1,"",2)</f>
        <v/>
      </c>
      <c r="E337" s="1" t="str">
        <f ca="1">E334</f>
        <v>Paul</v>
      </c>
      <c r="F337" s="1">
        <f ca="1">COUNTIF(H321:H336,E337)</f>
        <v>5</v>
      </c>
      <c r="G337" s="1"/>
      <c r="H337" s="1"/>
    </row>
    <row r="338" spans="3:12" x14ac:dyDescent="0.25">
      <c r="C338" t="str">
        <f ca="1">INDEX(Sheet4!B51:R51,MATCH($G$277,Sheet4!$B$48:$R$48,0))</f>
        <v>Matt</v>
      </c>
      <c r="D338">
        <f ca="1">IF(COUNTIF($E$296:$E$301,C338)=1,"",3)</f>
        <v>3</v>
      </c>
      <c r="E338" s="1" t="str">
        <f ca="1">E335</f>
        <v>Megan</v>
      </c>
      <c r="F338" s="1">
        <f ca="1">COUNTIF(H321:H336,E338)</f>
        <v>7</v>
      </c>
      <c r="G338" s="1" t="str">
        <f ca="1">"By a vote of "&amp;LARGE(F337:F338,1)&amp;"-"&amp;LARGE(F337:F338,2)</f>
        <v>By a vote of 7-5</v>
      </c>
      <c r="H338" s="1"/>
    </row>
    <row r="339" spans="3:12" x14ac:dyDescent="0.25">
      <c r="C339" t="str">
        <f ca="1">INDEX(Sheet4!B52:R52,MATCH($G$277,Sheet4!$B$48:$R$48,0))</f>
        <v>Jillian</v>
      </c>
      <c r="D339">
        <f ca="1">IF(COUNTIF($E$296:$E$301,C339)=1,"",4)</f>
        <v>4</v>
      </c>
      <c r="E339" s="1"/>
      <c r="F339" s="1"/>
      <c r="G339" s="1" t="str">
        <f ca="1">INDEX(E337:E338,MATCH(LARGE(F337:F338,1),F337:F338,0))</f>
        <v>Megan</v>
      </c>
      <c r="H339" s="1"/>
    </row>
    <row r="340" spans="3:12" x14ac:dyDescent="0.25">
      <c r="C340" t="str">
        <f ca="1">INDEX(Sheet4!B53:R53,MATCH($G$277,Sheet4!$B$48:$R$48,0))</f>
        <v>Cameron</v>
      </c>
      <c r="D340">
        <f ca="1">IF(COUNTIF($E$296:$E$301,C340)=1,"",5)</f>
        <v>5</v>
      </c>
      <c r="E340" s="1"/>
      <c r="F340" s="1"/>
      <c r="G340" s="1" t="s">
        <v>62</v>
      </c>
      <c r="H340" s="1"/>
    </row>
    <row r="341" spans="3:12" x14ac:dyDescent="0.25">
      <c r="C341" t="str">
        <f ca="1">INDEX(Sheet4!B54:R54,MATCH($G$277,Sheet4!$B$48:$R$48,0))</f>
        <v>Ramses</v>
      </c>
      <c r="D341">
        <f ca="1">IF(COUNTIF($E$296:$E$301,C341)=1,"",6)</f>
        <v>6</v>
      </c>
      <c r="E341" s="1"/>
      <c r="F341" s="1"/>
      <c r="G341" s="1"/>
      <c r="H341" s="1"/>
    </row>
    <row r="342" spans="3:12" x14ac:dyDescent="0.25">
      <c r="C342" s="1" t="str">
        <f ca="1">G339</f>
        <v>Megan</v>
      </c>
      <c r="D342" s="1" t="str">
        <f ca="1">F228</f>
        <v>Kevin</v>
      </c>
      <c r="E342" s="1"/>
      <c r="F342" s="1"/>
      <c r="G342" s="2" t="s">
        <v>115</v>
      </c>
      <c r="H342" s="1"/>
      <c r="I342" s="1"/>
      <c r="J342" s="1"/>
      <c r="K342" s="1"/>
      <c r="L342" s="1"/>
    </row>
    <row r="343" spans="3:12" x14ac:dyDescent="0.25">
      <c r="C343" s="1" t="str">
        <f t="shared" ref="C343:C358" ca="1" si="35">C320</f>
        <v>Alex</v>
      </c>
      <c r="D343" s="1">
        <f ca="1">IF(COUNTIF($C$342:$D$342,C343)=1,"",1)</f>
        <v>1</v>
      </c>
      <c r="E343" s="1" t="str">
        <f ca="1">F227</f>
        <v>Raven</v>
      </c>
      <c r="F343" s="1"/>
      <c r="G343" s="16" t="str">
        <f ca="1">INDEX(C343:C358,MATCH(SMALL(D343:D358,1),D343:D358,0))</f>
        <v>Alex</v>
      </c>
      <c r="H343" s="16" t="str">
        <f ca="1">INDEX($C$343:$C$358,MATCH(SMALL($D$343:$D$358,2),$D$343:$D$358,0))</f>
        <v>Cameron</v>
      </c>
      <c r="I343" s="16" t="str">
        <f ca="1">INDEX(C343:C358,MATCH(SMALL(D343:D358,3),D343:D358,0))</f>
        <v>Christmas</v>
      </c>
      <c r="J343" s="16" t="str">
        <f ca="1">INDEX(C343:C358,MATCH(SMALL(D343:D358,4),D343:D358,0))</f>
        <v>Cody</v>
      </c>
      <c r="K343" s="16" t="str">
        <f ca="1">INDEX(C343:C358,MATCH(SMALL(D343:D358,5),D343:D358,0))</f>
        <v>Elena</v>
      </c>
      <c r="L343" s="28"/>
    </row>
    <row r="344" spans="3:12" x14ac:dyDescent="0.25">
      <c r="C344" s="1" t="str">
        <f t="shared" ca="1" si="35"/>
        <v>Cameron</v>
      </c>
      <c r="D344" s="1">
        <f ca="1">IF(COUNTIF($C$342:$D$342,C344)=1,"",2)</f>
        <v>2</v>
      </c>
      <c r="E344" s="1" t="str">
        <f ca="1">H304</f>
        <v>Christmas</v>
      </c>
      <c r="F344" s="1"/>
      <c r="G344" s="24" t="str">
        <f ca="1">IF(G343=$E$343,"HOH - 1","")</f>
        <v/>
      </c>
      <c r="H344" s="24" t="str">
        <f ca="1">IF(H343=$E$343,"HOH - 1","")</f>
        <v/>
      </c>
      <c r="I344" s="24" t="str">
        <f ca="1">IF(I343=$E$343,"HOH - 1","")</f>
        <v/>
      </c>
      <c r="J344" s="24" t="str">
        <f ca="1">IF(J343=$E$343,"HOH - 1","")</f>
        <v/>
      </c>
      <c r="K344" s="24" t="str">
        <f ca="1">IF(K343=$E$343,"HOH - 1","")</f>
        <v/>
      </c>
      <c r="L344" s="28"/>
    </row>
    <row r="345" spans="3:12" x14ac:dyDescent="0.25">
      <c r="C345" s="1" t="str">
        <f t="shared" ca="1" si="35"/>
        <v>Christmas</v>
      </c>
      <c r="D345" s="1">
        <f ca="1">IF(COUNTIF($C$342:$D$342,C345)=1,"",3)</f>
        <v>3</v>
      </c>
      <c r="E345" s="1"/>
      <c r="F345" s="1"/>
      <c r="G345" s="26" t="str">
        <f ca="1">IF(G343=$E$344,"POV - 1","")</f>
        <v/>
      </c>
      <c r="H345" s="26" t="str">
        <f ca="1">IF(H343=$E$344,"POV - 1","")</f>
        <v/>
      </c>
      <c r="I345" s="26" t="str">
        <f ca="1">IF(I343=$E$344,"POV - 1","")</f>
        <v>POV - 1</v>
      </c>
      <c r="J345" s="26" t="str">
        <f ca="1">IF(J343=$E$344,"POV - 1","")</f>
        <v/>
      </c>
      <c r="K345" s="26" t="str">
        <f ca="1">IF(K343=$E$344,"POV - 1","")</f>
        <v/>
      </c>
      <c r="L345" s="28"/>
    </row>
    <row r="346" spans="3:12" x14ac:dyDescent="0.25">
      <c r="C346" s="1" t="str">
        <f t="shared" ca="1" si="35"/>
        <v>Cody</v>
      </c>
      <c r="D346" s="1">
        <f ca="1">IF(COUNTIF($C$342:$D$342,C346)=1,"",4)</f>
        <v>4</v>
      </c>
      <c r="E346" s="1" t="str">
        <f ca="1">G261</f>
        <v>Jason</v>
      </c>
      <c r="F346" s="1"/>
      <c r="G346" s="16" t="str">
        <f ca="1">INDEX(C343:C358,MATCH(SMALL(D343:D358,6),D343:D358,0))</f>
        <v>Jason</v>
      </c>
      <c r="H346" s="16" t="str">
        <f ca="1">INDEX(C343:C358,MATCH(SMALL(D343:D358,7),D343:D358,0))</f>
        <v>Jessica</v>
      </c>
      <c r="I346" s="16" t="str">
        <f ca="1">INDEX(C343:C358,MATCH(SMALL(D343:D358,8),D343:D358,0))</f>
        <v>Jillian</v>
      </c>
      <c r="J346" s="16" t="str">
        <f ca="1">INDEX(C343:C358,MATCH(SMALL(D343:D358,9),D343:D358,0))</f>
        <v>Josh</v>
      </c>
      <c r="K346" s="16" t="str">
        <f ca="1">INDEX(C343:C358,MATCH(SMALL(D343:D358,10),D343:D358,0))</f>
        <v>Mark</v>
      </c>
      <c r="L346" s="16" t="str">
        <f ca="1">INDEX(C343:C358,MATCH(SMALL(D343:D358,11),D343:D358,0))</f>
        <v>Matt</v>
      </c>
    </row>
    <row r="347" spans="3:12" x14ac:dyDescent="0.25">
      <c r="C347" s="1" t="str">
        <f t="shared" ca="1" si="35"/>
        <v>Elena</v>
      </c>
      <c r="D347" s="1">
        <f ca="1">IF(COUNTIF($C$342:$D$342,C347)=1,"",5)</f>
        <v>5</v>
      </c>
      <c r="E347" s="1"/>
      <c r="F347" s="1"/>
      <c r="G347" s="24" t="str">
        <f t="shared" ref="G347:L347" ca="1" si="36">IF(G346=$E$343,"HOH - 1","")</f>
        <v/>
      </c>
      <c r="H347" s="24" t="str">
        <f t="shared" ca="1" si="36"/>
        <v/>
      </c>
      <c r="I347" s="24" t="str">
        <f t="shared" ca="1" si="36"/>
        <v/>
      </c>
      <c r="J347" s="24" t="str">
        <f t="shared" ca="1" si="36"/>
        <v/>
      </c>
      <c r="K347" s="24" t="str">
        <f t="shared" ca="1" si="36"/>
        <v/>
      </c>
      <c r="L347" s="24" t="str">
        <f t="shared" ca="1" si="36"/>
        <v/>
      </c>
    </row>
    <row r="348" spans="3:12" x14ac:dyDescent="0.25">
      <c r="C348" s="1" t="str">
        <f t="shared" ca="1" si="35"/>
        <v>Jason</v>
      </c>
      <c r="D348" s="1">
        <f ca="1">IF(COUNTIF($C$342:$D$342,C348)=1,"",6)</f>
        <v>6</v>
      </c>
      <c r="E348" s="1"/>
      <c r="F348" s="1"/>
      <c r="G348" s="26" t="str">
        <f t="shared" ref="G348:L348" ca="1" si="37">IF(G346=$E$344,"POV - 1","")</f>
        <v/>
      </c>
      <c r="H348" s="26" t="str">
        <f t="shared" ca="1" si="37"/>
        <v/>
      </c>
      <c r="I348" s="26" t="str">
        <f t="shared" ca="1" si="37"/>
        <v/>
      </c>
      <c r="J348" s="26" t="str">
        <f t="shared" ca="1" si="37"/>
        <v/>
      </c>
      <c r="K348" s="26" t="str">
        <f t="shared" ca="1" si="37"/>
        <v/>
      </c>
      <c r="L348" s="26" t="str">
        <f t="shared" ca="1" si="37"/>
        <v/>
      </c>
    </row>
    <row r="349" spans="3:12" x14ac:dyDescent="0.25">
      <c r="C349" s="1" t="str">
        <f t="shared" ca="1" si="35"/>
        <v>Jessica</v>
      </c>
      <c r="D349" s="1">
        <f ca="1">IF(COUNTIF($C$342:$D$342,C349)=1,"",7)</f>
        <v>7</v>
      </c>
      <c r="E349" s="1"/>
      <c r="F349" s="1"/>
      <c r="G349" s="16" t="str">
        <f ca="1">INDEX(C343:C358,MATCH(SMALL(D343:D358,12),D343:D358,0))</f>
        <v>Paul</v>
      </c>
      <c r="H349" s="16" t="str">
        <f ca="1">INDEX(C343:C358,MATCH(SMALL(D343:D358,13),D343:D358,0))</f>
        <v>Ramses</v>
      </c>
      <c r="I349" s="16" t="str">
        <f ca="1">INDEX(C343:C358,MATCH(SMALL(D343:D358,14),D343:D358,0))</f>
        <v>Raven</v>
      </c>
      <c r="J349" s="19" t="str">
        <f ca="1">G339</f>
        <v>Megan</v>
      </c>
      <c r="K349" s="30" t="str">
        <f ca="1">F228</f>
        <v>Kevin</v>
      </c>
      <c r="L349" s="19" t="str">
        <f ca="1">L177</f>
        <v>Dominique</v>
      </c>
    </row>
    <row r="350" spans="3:12" x14ac:dyDescent="0.25">
      <c r="C350" s="1" t="str">
        <f t="shared" ca="1" si="35"/>
        <v>Jillian</v>
      </c>
      <c r="D350" s="1">
        <f ca="1">IF(COUNTIF($C$342:$D$342,C350)=1,"",8)</f>
        <v>8</v>
      </c>
      <c r="E350" s="1"/>
      <c r="F350" s="1"/>
      <c r="G350" s="24" t="str">
        <f ca="1">IF(G349=$E$343,"HOH - 1","")</f>
        <v/>
      </c>
      <c r="H350" s="24" t="str">
        <f ca="1">IF(H349=$E$343,"HOH - 1","")</f>
        <v/>
      </c>
      <c r="I350" s="24" t="str">
        <f ca="1">IF(I349=$E$343,"HOH - 1","")</f>
        <v>HOH - 1</v>
      </c>
      <c r="J350" s="31"/>
      <c r="K350" s="32"/>
      <c r="L350" s="31"/>
    </row>
    <row r="351" spans="3:12" x14ac:dyDescent="0.25">
      <c r="C351" s="1" t="str">
        <f t="shared" ca="1" si="35"/>
        <v>Josh</v>
      </c>
      <c r="D351" s="1">
        <f ca="1">IF(COUNTIF($C$342:$D$342,C351)=1,"",9)</f>
        <v>9</v>
      </c>
      <c r="E351" s="1"/>
      <c r="F351" s="1"/>
      <c r="G351" s="26" t="str">
        <f ca="1">IF(G349=$E$344,"POV - 1","")</f>
        <v/>
      </c>
      <c r="H351" s="26" t="str">
        <f ca="1">IF(H349=$E$344,"POV - 1","")</f>
        <v/>
      </c>
      <c r="I351" s="26" t="str">
        <f ca="1">IF(I349=$E$344,"POV - 1","")</f>
        <v/>
      </c>
      <c r="J351" s="33"/>
      <c r="K351" s="34"/>
      <c r="L351" s="33"/>
    </row>
    <row r="352" spans="3:12" x14ac:dyDescent="0.25">
      <c r="C352" s="1" t="str">
        <f t="shared" ca="1" si="35"/>
        <v>Kevin</v>
      </c>
      <c r="D352" s="1" t="str">
        <f ca="1">IF(COUNTIF($C$342:$D$342,C352)=1,"",10)</f>
        <v/>
      </c>
    </row>
    <row r="353" spans="3:8" x14ac:dyDescent="0.25">
      <c r="C353" s="1" t="str">
        <f t="shared" ca="1" si="35"/>
        <v>Mark</v>
      </c>
      <c r="D353" s="1">
        <f ca="1">IF(COUNTIF($C$342:$D$342,C353)=1,"",11)</f>
        <v>11</v>
      </c>
      <c r="G353" s="2" t="s">
        <v>65</v>
      </c>
      <c r="H353" s="1"/>
    </row>
    <row r="354" spans="3:8" x14ac:dyDescent="0.25">
      <c r="C354" s="1" t="str">
        <f t="shared" ca="1" si="35"/>
        <v>Matt</v>
      </c>
      <c r="D354" s="1">
        <f ca="1">IF(COUNTIF($C$342:$D$342,C354)=1,"",12)</f>
        <v>12</v>
      </c>
      <c r="G354" s="1" t="s">
        <v>130</v>
      </c>
      <c r="H354" s="1" t="str">
        <f ca="1">E343</f>
        <v>Raven</v>
      </c>
    </row>
    <row r="355" spans="3:8" x14ac:dyDescent="0.25">
      <c r="C355" s="1" t="str">
        <f t="shared" ca="1" si="35"/>
        <v>Megan</v>
      </c>
      <c r="D355" s="1" t="str">
        <f ca="1">IF(COUNTIF($C$342:$D$342,C355)=1,"",13)</f>
        <v/>
      </c>
      <c r="G355" s="1"/>
      <c r="H355" s="1"/>
    </row>
    <row r="356" spans="3:8" x14ac:dyDescent="0.25">
      <c r="C356" s="1" t="str">
        <f t="shared" ca="1" si="35"/>
        <v>Paul</v>
      </c>
      <c r="D356" s="1">
        <f ca="1">IF(COUNTIF($C$342:$D$342,C356)=1,"",14)</f>
        <v>14</v>
      </c>
      <c r="G356" s="1" t="s">
        <v>131</v>
      </c>
      <c r="H356" s="1" t="str">
        <f ca="1">INDEX(D360:D372,RANK(E360,E360:E372))</f>
        <v>Alex</v>
      </c>
    </row>
    <row r="357" spans="3:8" x14ac:dyDescent="0.25">
      <c r="C357" s="1" t="str">
        <f t="shared" ca="1" si="35"/>
        <v>Ramses</v>
      </c>
      <c r="D357" s="1">
        <f ca="1">IF(COUNTIF($C$342:$D$342,C357)=1,"",15)</f>
        <v>15</v>
      </c>
      <c r="G357" s="1" t="s">
        <v>132</v>
      </c>
      <c r="H357" s="1" t="str">
        <f ca="1">INDEX(D360:D372,RANK(E361,E360:E372))</f>
        <v>Elena</v>
      </c>
    </row>
    <row r="358" spans="3:8" x14ac:dyDescent="0.25">
      <c r="C358" s="1" t="str">
        <f t="shared" ca="1" si="35"/>
        <v>Raven</v>
      </c>
      <c r="D358" s="1">
        <f ca="1">IF(COUNTIF($C$342:$D$342,C358)=1,"",16)</f>
        <v>16</v>
      </c>
      <c r="G358" s="1" t="s">
        <v>133</v>
      </c>
      <c r="H358" s="1" t="str">
        <f ca="1">INDEX(D360:D372,RANK(E362,E360:E372))</f>
        <v>Paul</v>
      </c>
    </row>
    <row r="359" spans="3:8" x14ac:dyDescent="0.25">
      <c r="G359" s="1" t="s">
        <v>134</v>
      </c>
      <c r="H359" s="1" t="str">
        <f ca="1">INDEX(D360:D372,RANK(E363,E360:E372))</f>
        <v>Jillian</v>
      </c>
    </row>
    <row r="360" spans="3:8" x14ac:dyDescent="0.25">
      <c r="C360" s="1" t="str">
        <f ca="1">G343</f>
        <v>Alex</v>
      </c>
      <c r="D360" s="1" t="str">
        <f ca="1">IF(C360=H354,C361,C360)</f>
        <v>Alex</v>
      </c>
      <c r="E360" s="1">
        <f ca="1">RAND()</f>
        <v>0.9855454072541765</v>
      </c>
      <c r="G360" s="1" t="s">
        <v>135</v>
      </c>
      <c r="H360" s="1" t="str">
        <f ca="1">INDEX(D360:D372,RANK(E364,E360:E372))</f>
        <v>Christmas</v>
      </c>
    </row>
    <row r="361" spans="3:8" x14ac:dyDescent="0.25">
      <c r="C361" s="1" t="str">
        <f ca="1">H343</f>
        <v>Cameron</v>
      </c>
      <c r="D361" s="1" t="str">
        <f ca="1">IF(D360=C361,C362,IF(C361=$H$354,C362,C361))</f>
        <v>Cameron</v>
      </c>
      <c r="E361" s="1">
        <f t="shared" ref="E361:E372" ca="1" si="38">RAND()</f>
        <v>0.75576669589427192</v>
      </c>
      <c r="G361" s="1" t="s">
        <v>46</v>
      </c>
      <c r="H361" s="1" t="str">
        <f ca="1">INDEX(D360:D372,RANK(E365,E360:E372))</f>
        <v>Jason</v>
      </c>
    </row>
    <row r="362" spans="3:8" x14ac:dyDescent="0.25">
      <c r="C362" s="1" t="str">
        <f ca="1">I343</f>
        <v>Christmas</v>
      </c>
      <c r="D362" s="1" t="str">
        <f t="shared" ref="D362:D372" ca="1" si="39">IF(D361=C362,C363,IF(C362=$H$354,C363,C362))</f>
        <v>Christmas</v>
      </c>
      <c r="E362" s="1">
        <f t="shared" ca="1" si="38"/>
        <v>5.2364789492143182E-2</v>
      </c>
      <c r="G362" s="1" t="s">
        <v>47</v>
      </c>
      <c r="H362" s="1" t="str">
        <f ca="1">INDEX(D360:D372,RANK(E366,E360:E372))</f>
        <v>Mark</v>
      </c>
    </row>
    <row r="363" spans="3:8" x14ac:dyDescent="0.25">
      <c r="C363" s="1" t="str">
        <f ca="1">J343</f>
        <v>Cody</v>
      </c>
      <c r="D363" s="1" t="str">
        <f t="shared" ca="1" si="39"/>
        <v>Cody</v>
      </c>
      <c r="E363" s="1">
        <f t="shared" ca="1" si="38"/>
        <v>0.44370420786616382</v>
      </c>
      <c r="G363" s="1" t="s">
        <v>48</v>
      </c>
      <c r="H363" s="1" t="str">
        <f ca="1">INDEX(D360:D372,RANK(E367,E360:E372))</f>
        <v>Ramses</v>
      </c>
    </row>
    <row r="364" spans="3:8" x14ac:dyDescent="0.25">
      <c r="C364" s="1" t="str">
        <f ca="1">K343</f>
        <v>Elena</v>
      </c>
      <c r="D364" s="1" t="str">
        <f t="shared" ca="1" si="39"/>
        <v>Elena</v>
      </c>
      <c r="E364" s="1">
        <f t="shared" ca="1" si="38"/>
        <v>0.87341232962882998</v>
      </c>
      <c r="G364" s="1" t="s">
        <v>49</v>
      </c>
      <c r="H364" s="1" t="str">
        <f ca="1">INDEX(D360:D372,RANK(E368,E360:E372))</f>
        <v>Cameron</v>
      </c>
    </row>
    <row r="365" spans="3:8" x14ac:dyDescent="0.25">
      <c r="C365" s="1" t="str">
        <f ca="1">G346</f>
        <v>Jason</v>
      </c>
      <c r="D365" s="1" t="str">
        <f t="shared" ca="1" si="39"/>
        <v>Jason</v>
      </c>
      <c r="E365" s="1">
        <f t="shared" ca="1" si="38"/>
        <v>0.68747238209845363</v>
      </c>
      <c r="F365" t="str">
        <f ca="1">F252</f>
        <v>Jason</v>
      </c>
      <c r="G365" s="1" t="s">
        <v>50</v>
      </c>
      <c r="H365" s="1" t="str">
        <f ca="1">INDEX(D360:D372,RANK(E369,E360:E372))</f>
        <v>Cody</v>
      </c>
    </row>
    <row r="366" spans="3:8" x14ac:dyDescent="0.25">
      <c r="C366" s="1" t="str">
        <f ca="1">H346</f>
        <v>Jessica</v>
      </c>
      <c r="D366" s="1" t="str">
        <f t="shared" ca="1" si="39"/>
        <v>Jessica</v>
      </c>
      <c r="E366" s="1">
        <f t="shared" ca="1" si="38"/>
        <v>0.20482094738182877</v>
      </c>
      <c r="F366">
        <f ca="1">F253</f>
        <v>2</v>
      </c>
      <c r="G366" s="1" t="s">
        <v>52</v>
      </c>
      <c r="H366" s="1" t="str">
        <f ca="1">INDEX(D360:D372,RANK(E370,E360:E372))</f>
        <v>Matt</v>
      </c>
    </row>
    <row r="367" spans="3:8" x14ac:dyDescent="0.25">
      <c r="C367" s="1" t="str">
        <f ca="1">I346</f>
        <v>Jillian</v>
      </c>
      <c r="D367" s="1" t="str">
        <f t="shared" ca="1" si="39"/>
        <v>Jillian</v>
      </c>
      <c r="E367" s="1">
        <f t="shared" ca="1" si="38"/>
        <v>4.7827158828753102E-2</v>
      </c>
      <c r="F367" t="str">
        <f ca="1">G339</f>
        <v>Megan</v>
      </c>
      <c r="G367" s="1" t="s">
        <v>53</v>
      </c>
      <c r="H367" s="1" t="str">
        <f ca="1">INDEX(D360:D372,RANK(E371,E360:E372))</f>
        <v>Jessica</v>
      </c>
    </row>
    <row r="368" spans="3:8" x14ac:dyDescent="0.25">
      <c r="C368" s="1" t="str">
        <f ca="1">J346</f>
        <v>Josh</v>
      </c>
      <c r="D368" s="1" t="str">
        <f t="shared" ca="1" si="39"/>
        <v>Josh</v>
      </c>
      <c r="E368" s="1">
        <f t="shared" ca="1" si="38"/>
        <v>0.94724008899097345</v>
      </c>
      <c r="F368" t="str">
        <f ca="1">H368</f>
        <v>Josh</v>
      </c>
      <c r="G368" s="1" t="s">
        <v>54</v>
      </c>
      <c r="H368" s="1" t="str">
        <f ca="1">INDEX(D360:D372,RANK(E372,E360:E372))</f>
        <v>Josh</v>
      </c>
    </row>
    <row r="369" spans="1:10" x14ac:dyDescent="0.25">
      <c r="C369" s="1" t="str">
        <f ca="1">K346</f>
        <v>Mark</v>
      </c>
      <c r="D369" s="1" t="str">
        <f t="shared" ca="1" si="39"/>
        <v>Mark</v>
      </c>
      <c r="E369" s="1">
        <f t="shared" ca="1" si="38"/>
        <v>0.8467164291017657</v>
      </c>
      <c r="F369" t="str">
        <f ca="1">E303</f>
        <v>Jessica</v>
      </c>
      <c r="G369" s="1" t="str">
        <f ca="1">"Congratulations, "&amp;H368</f>
        <v>Congratulations, Josh</v>
      </c>
      <c r="H369" s="1"/>
    </row>
    <row r="370" spans="1:10" x14ac:dyDescent="0.25">
      <c r="C370" s="1" t="str">
        <f ca="1">L346</f>
        <v>Matt</v>
      </c>
      <c r="D370" s="1" t="str">
        <f t="shared" ca="1" si="39"/>
        <v>Matt</v>
      </c>
      <c r="E370" s="1">
        <f t="shared" ca="1" si="38"/>
        <v>0.14171117629679819</v>
      </c>
    </row>
    <row r="371" spans="1:10" x14ac:dyDescent="0.25">
      <c r="C371" s="1" t="str">
        <f ca="1">G349</f>
        <v>Paul</v>
      </c>
      <c r="D371" s="1" t="str">
        <f t="shared" ca="1" si="39"/>
        <v>Paul</v>
      </c>
      <c r="E371" s="1">
        <f t="shared" ca="1" si="38"/>
        <v>0.53138030557126636</v>
      </c>
      <c r="G371" s="2" t="s">
        <v>85</v>
      </c>
      <c r="H371" s="1"/>
      <c r="I371" s="1"/>
      <c r="J371" s="1"/>
    </row>
    <row r="372" spans="1:10" x14ac:dyDescent="0.25">
      <c r="A372">
        <f ca="1">SMALL(Sheet4!$B$108:$R$108,1)</f>
        <v>1.1992803304611785</v>
      </c>
      <c r="C372" s="1" t="str">
        <f ca="1">H349</f>
        <v>Ramses</v>
      </c>
      <c r="D372" s="1" t="str">
        <f t="shared" ca="1" si="39"/>
        <v>Ramses</v>
      </c>
      <c r="E372" s="1">
        <f t="shared" ca="1" si="38"/>
        <v>0.31896930525492617</v>
      </c>
      <c r="G372" s="1" t="str">
        <f ca="1">H368&amp;" must select "&amp;E374&amp;" have nots for the week"</f>
        <v>Josh must select 3 have nots for the week</v>
      </c>
      <c r="H372" s="1"/>
      <c r="I372" s="1"/>
      <c r="J372" s="1"/>
    </row>
    <row r="373" spans="1:10" x14ac:dyDescent="0.25">
      <c r="A373">
        <f ca="1">SMALL(Sheet4!$B$108:$R$108,2)</f>
        <v>12.100603246962368</v>
      </c>
      <c r="C373" s="1" t="str">
        <f ca="1">I349</f>
        <v>Raven</v>
      </c>
      <c r="D373" s="1"/>
      <c r="E373" s="1"/>
      <c r="F373" t="str">
        <f ca="1">IF(E374=3,F252,"")</f>
        <v>Jason</v>
      </c>
      <c r="G373" s="1" t="str">
        <f ca="1">IF(F373="","",F373&amp;" is a have not for selecting the wrong box last week")</f>
        <v>Jason is a have not for selecting the wrong box last week</v>
      </c>
      <c r="H373" s="1"/>
      <c r="I373" s="1"/>
      <c r="J373" s="1"/>
    </row>
    <row r="374" spans="1:10" x14ac:dyDescent="0.25">
      <c r="A374">
        <f ca="1">SMALL(Sheet4!$B$108:$R$108,3)</f>
        <v>15.17715993671249</v>
      </c>
      <c r="D374" s="4">
        <f>IF(Relationships!B29="",ROUND(RAND*100,0),IF(Relationships!B29&lt;=0,0,IF(Relationships!B29&gt;=100,100,Relationships!B29)))</f>
        <v>50</v>
      </c>
      <c r="E374" s="4">
        <f ca="1">IF(F366=1,4,IF(COUNTIF(F367:F369,F365)=1,4,3))</f>
        <v>3</v>
      </c>
      <c r="F374" t="str">
        <f ca="1">INDEX(C377:C389,MATCH(SMALL(E377:E389,1),E377:E389,0))</f>
        <v>Elena</v>
      </c>
      <c r="G374" s="1" t="s">
        <v>136</v>
      </c>
      <c r="H374" s="1"/>
      <c r="I374" s="1"/>
      <c r="J374" s="1"/>
    </row>
    <row r="375" spans="1:10" x14ac:dyDescent="0.25">
      <c r="A375">
        <f ca="1">SMALL(Sheet4!$B$108:$R$108,4)</f>
        <v>15.422138284256448</v>
      </c>
      <c r="C375" t="str">
        <f ca="1">H368</f>
        <v>Josh</v>
      </c>
      <c r="D375" t="str">
        <f ca="1">G261</f>
        <v>Jason</v>
      </c>
      <c r="E375" t="str">
        <f ca="1">E303</f>
        <v>Jessica</v>
      </c>
      <c r="F375" t="str">
        <f ca="1">INDEX(C377:C389,MATCH(SMALL(E377:E389,2),E377:E389,0))</f>
        <v>Christmas</v>
      </c>
      <c r="G375" s="1" t="str">
        <f ca="1">IF(F373="",F374&amp;", "&amp;F375&amp;", "&amp;F376&amp;" and "&amp;F377,F373&amp;", "&amp;F374&amp;", "&amp;F375&amp;" and "&amp;F376)</f>
        <v>Jason, Elena, Christmas and Raven</v>
      </c>
      <c r="H375" s="1"/>
      <c r="I375" s="1"/>
      <c r="J375" s="1"/>
    </row>
    <row r="376" spans="1:10" x14ac:dyDescent="0.25">
      <c r="A376">
        <f ca="1">SMALL(Sheet4!$B$108:$R$108,5)</f>
        <v>16.322321659313264</v>
      </c>
      <c r="E376" t="str">
        <f ca="1">F373</f>
        <v>Jason</v>
      </c>
      <c r="F376" t="str">
        <f ca="1">INDEX(C377:C389,MATCH(SMALL(E377:E389,3),E377:E389,0))</f>
        <v>Raven</v>
      </c>
      <c r="G376" s="1"/>
      <c r="H376" s="1"/>
      <c r="I376" s="1"/>
      <c r="J376" s="1"/>
    </row>
    <row r="377" spans="1:10" x14ac:dyDescent="0.25">
      <c r="A377">
        <f ca="1">SMALL(Sheet4!$B$108:$R$108,6)</f>
        <v>27.107808049853908</v>
      </c>
      <c r="C377" t="str">
        <f ca="1">IF($I$26="On",INDEX(Sheet4!B105:R105,MATCH(Game!$C$375,Sheet4!$B$92:$R$92,0)),H354)</f>
        <v>Elena</v>
      </c>
      <c r="D377">
        <f t="shared" ref="D377:D389" ca="1" si="40">IF(C377=$D$375,"",IF($I$26="On",A372,RAND()))</f>
        <v>1.1992803304611785</v>
      </c>
      <c r="E377">
        <f ca="1">IF(COUNTIF($E$375:$E$376,C377)&gt;=1,"",RAND())</f>
        <v>0.11282022998663233</v>
      </c>
      <c r="F377" t="str">
        <f ca="1">IF(E374=3,"",INDEX(C377:C389,MATCH(SMALL(E377:E389,4),E377:E389,0)))</f>
        <v/>
      </c>
      <c r="G377" s="2" t="s">
        <v>137</v>
      </c>
      <c r="H377" s="1"/>
      <c r="I377" s="1"/>
      <c r="J377" s="1"/>
    </row>
    <row r="378" spans="1:10" x14ac:dyDescent="0.25">
      <c r="A378">
        <f ca="1">SMALL(Sheet4!$B$108:$R$108,7)</f>
        <v>36.113202703490856</v>
      </c>
      <c r="C378" t="str">
        <f ca="1">IF($I$26="On",INDEX(Sheet4!B104:R104,MATCH(Game!$C$375,Sheet4!$B$92:$R$92,0)),H356)</f>
        <v>Paul</v>
      </c>
      <c r="D378">
        <f t="shared" ca="1" si="40"/>
        <v>12.100603246962368</v>
      </c>
      <c r="E378">
        <f ca="1">IF(COUNTIF($E$375:$E$376,C378)&gt;=1,"",RAND())</f>
        <v>0.50870553987064449</v>
      </c>
      <c r="F378">
        <f ca="1">IF(F373="","",RAND())</f>
        <v>7.6456648247909209E-2</v>
      </c>
      <c r="G378" s="1" t="str">
        <f ca="1">F383&amp;" requests the key"</f>
        <v>Elena requests the key</v>
      </c>
      <c r="H378" s="1"/>
      <c r="I378" s="1"/>
      <c r="J378" s="1"/>
    </row>
    <row r="379" spans="1:10" x14ac:dyDescent="0.25">
      <c r="A379">
        <f ca="1">SMALL(Sheet4!$B$108:$R$108,8)</f>
        <v>41.253573787864298</v>
      </c>
      <c r="C379" t="str">
        <f ca="1">IF($I$26="On",INDEX(Sheet4!B103:R103,MATCH(Game!$C$375,Sheet4!$B$92:$R$92,0)),H357)</f>
        <v>Christmas</v>
      </c>
      <c r="D379">
        <f t="shared" ca="1" si="40"/>
        <v>15.17715993671249</v>
      </c>
      <c r="E379">
        <f ca="1">IF(COUNTIF($E$375:$E$376,C379)&gt;=1,"",RAND())</f>
        <v>0.16836806711408281</v>
      </c>
      <c r="F379">
        <f ca="1">IF(F374="","",RAND())</f>
        <v>0.90317531224992964</v>
      </c>
      <c r="G379" s="1" t="str">
        <f ca="1">IF(F384=1,F383&amp;" is now a Have for the week",F383&amp;" is now a Have Not next week as well")</f>
        <v>Elena is now a Have Not next week as well</v>
      </c>
      <c r="H379" s="1"/>
      <c r="I379" s="1"/>
      <c r="J379" s="1"/>
    </row>
    <row r="380" spans="1:10" x14ac:dyDescent="0.25">
      <c r="A380">
        <f ca="1">SMALL(Sheet4!$B$108:$R$108,9)</f>
        <v>43.203446070435945</v>
      </c>
      <c r="C380" t="str">
        <f ca="1">IF($I$26="On",INDEX(Sheet4!B102:R102,MATCH(Game!$C$375,Sheet4!$B$92:$R$92,0)),H358)</f>
        <v>Mark</v>
      </c>
      <c r="D380">
        <f t="shared" ca="1" si="40"/>
        <v>15.422138284256448</v>
      </c>
      <c r="E380">
        <f ca="1">IF(COUNTIF(E375:E376,C380)&gt;=1,"",IF($I$26="On",IF(LARGE(D392:D394,1)+1&lt;=E374,RAND(),IF(A375&gt;=D374,"",RAND())),RAND()))</f>
        <v>0.51328619020338739</v>
      </c>
      <c r="F380">
        <f ca="1">IF(F375="","",RAND())</f>
        <v>0.23868012277780926</v>
      </c>
    </row>
    <row r="381" spans="1:10" x14ac:dyDescent="0.25">
      <c r="A381">
        <f ca="1">SMALL(Sheet4!$B$108:$R$108,10)</f>
        <v>43.418986695772595</v>
      </c>
      <c r="C381" t="str">
        <f ca="1">IF($I$26="On",INDEX(Sheet4!B101:R101,MATCH(Game!$C$375,Sheet4!$B$92:$R$92,0)),H359)</f>
        <v>Raven</v>
      </c>
      <c r="D381">
        <f t="shared" ca="1" si="40"/>
        <v>16.322321659313264</v>
      </c>
      <c r="E381">
        <f ca="1">IF(COUNTIF($E$375:$E$376,C381)&gt;=1,"",IF($I$26="On",IF(LARGE($D$392:D395,1)+1&lt;=$E$374,RAND(),IF(A376&gt;=$D$374,"",RAND())),RAND()))</f>
        <v>0.21817497445944412</v>
      </c>
      <c r="F381">
        <f ca="1">IF(F376="","",RAND())</f>
        <v>0.75893735866613032</v>
      </c>
      <c r="G381" s="2" t="s">
        <v>94</v>
      </c>
      <c r="H381" s="1"/>
      <c r="I381" s="1"/>
      <c r="J381" s="1"/>
    </row>
    <row r="382" spans="1:10" x14ac:dyDescent="0.25">
      <c r="A382">
        <f ca="1">SMALL(Sheet4!$B$108:$R$108,11)</f>
        <v>68.054883665149632</v>
      </c>
      <c r="C382" t="str">
        <f ca="1">IF($I$26="On",INDEX(Sheet4!B100:R100,MATCH(Game!$C$375,Sheet4!$B$92:$R$92,0)),H360)</f>
        <v>Jessica</v>
      </c>
      <c r="D382">
        <f t="shared" ca="1" si="40"/>
        <v>27.107808049853908</v>
      </c>
      <c r="E382" t="str">
        <f ca="1">IF(COUNTIF($E$375:$E$376,C382)&gt;=1,"",IF($I$26="On",IF(LARGE($D$392:D396,1)+1&lt;=$E$374,RAND(),IF(A377&gt;=$D$374,"",RAND())),RAND()))</f>
        <v/>
      </c>
      <c r="F382" t="str">
        <f ca="1">IF(F377="","",RAND())</f>
        <v/>
      </c>
      <c r="G382" s="1" t="s">
        <v>138</v>
      </c>
      <c r="H382" s="1"/>
      <c r="I382" s="1"/>
      <c r="J382" s="1"/>
    </row>
    <row r="383" spans="1:10" x14ac:dyDescent="0.25">
      <c r="A383">
        <f ca="1">SMALL(Sheet4!$B$108:$R$108,12)</f>
        <v>68.143352648752639</v>
      </c>
      <c r="C383" t="str">
        <f ca="1">IF($I$26="On",INDEX(Sheet4!B99:R99,MATCH(Game!$C$375,Sheet4!$B$92:$R$92,0)),H361)</f>
        <v>Jason</v>
      </c>
      <c r="D383" t="str">
        <f t="shared" ca="1" si="40"/>
        <v/>
      </c>
      <c r="E383" t="str">
        <f ca="1">IF(COUNTIF($E$375:$E$376,C383)&gt;=1,"",IF($I$26="On",IF(LARGE($D$392:D397,1)+1&lt;=$E$374,RAND(),IF(A378&gt;=$D$374,"",RAND())),RAND()))</f>
        <v/>
      </c>
      <c r="F383" t="str">
        <f ca="1">INDEX(F373:F377,MATCH(LARGE(F378:F382,1),F378:F382,0))</f>
        <v>Elena</v>
      </c>
      <c r="G383" s="1" t="s">
        <v>139</v>
      </c>
      <c r="H383" s="1"/>
      <c r="I383" s="1"/>
      <c r="J383" s="1"/>
    </row>
    <row r="384" spans="1:10" x14ac:dyDescent="0.25">
      <c r="A384">
        <f ca="1">SMALL(Sheet4!$B$108:$R$108,13)</f>
        <v>74.254574277272255</v>
      </c>
      <c r="C384" t="str">
        <f ca="1">IF($I$26="On",INDEX(Sheet4!B98:R98,MATCH(Game!$C$375,Sheet4!$B$92:$R$92,0)),H362)</f>
        <v>Cameron</v>
      </c>
      <c r="D384">
        <f t="shared" ca="1" si="40"/>
        <v>41.253573787864298</v>
      </c>
      <c r="E384">
        <f ca="1">IF(COUNTIF($E$375:$E$376,C384)&gt;=1,"",IF($I$26="On",IF(LARGE($D$392:D398,1)+1&lt;=$E$374,RAND(),IF(A379&gt;=$D$374,"",RAND())),RAND()))</f>
        <v>0.80982470667954998</v>
      </c>
      <c r="F384">
        <f ca="1">RANDBETWEEN(1,2)</f>
        <v>2</v>
      </c>
      <c r="G384" s="1" t="s">
        <v>140</v>
      </c>
      <c r="H384" s="1"/>
      <c r="I384" s="1"/>
      <c r="J384" s="1"/>
    </row>
    <row r="385" spans="1:11" x14ac:dyDescent="0.25">
      <c r="C385" t="str">
        <f ca="1">IF($I$26="On",INDEX(Sheet4!B97:R97,MATCH(Game!$C$375,Sheet4!$B$92:$R$92,0)),H363)</f>
        <v>Jillian</v>
      </c>
      <c r="D385">
        <f t="shared" ca="1" si="40"/>
        <v>43.203446070435945</v>
      </c>
      <c r="E385">
        <f ca="1">IF(COUNTIF($E$375:$E$376,C385)&gt;=1,"",IF($I$26="On",IF(LARGE($D$392:D399,1)+1&lt;=$E$374,RAND(),IF(A380&gt;=$D$374,"",RAND())),RAND()))</f>
        <v>0.53181403958437135</v>
      </c>
      <c r="G385" s="1" t="s">
        <v>141</v>
      </c>
      <c r="H385" s="1"/>
      <c r="I385" s="1"/>
      <c r="J385" s="1"/>
    </row>
    <row r="386" spans="1:11" x14ac:dyDescent="0.25">
      <c r="C386" t="str">
        <f ca="1">IF($I$26="On",INDEX(Sheet4!B96:R96,MATCH(Game!$C$375,Sheet4!$B$92:$R$92,0)),H364)</f>
        <v>Alex</v>
      </c>
      <c r="D386">
        <f t="shared" ca="1" si="40"/>
        <v>43.418986695772595</v>
      </c>
      <c r="E386">
        <f ca="1">IF(COUNTIF($E$375:$E$376,C386)&gt;=1,"",IF($I$26="On",IF(LARGE($D$392:D400,1)+1&lt;=$E$374,RAND(),IF(A381&gt;=$D$374,"",RAND())),RAND()))</f>
        <v>0.57673019484810262</v>
      </c>
      <c r="G386" s="1" t="s">
        <v>142</v>
      </c>
      <c r="H386" s="1"/>
      <c r="I386" s="1"/>
      <c r="J386" s="1"/>
    </row>
    <row r="387" spans="1:11" x14ac:dyDescent="0.25">
      <c r="C387" t="str">
        <f ca="1">IF($I$26="On",INDEX(Sheet4!B95:R95,MATCH(Game!$C$375,Sheet4!$B$92:$R$92,0)),H365)</f>
        <v>Cody</v>
      </c>
      <c r="D387">
        <f t="shared" ca="1" si="40"/>
        <v>68.054883665149632</v>
      </c>
      <c r="E387" t="str">
        <f ca="1">IF(COUNTIF($E$375:$E$376,C387)&gt;=1,"",IF($I$26="On",IF(LARGE($D$392:D401,1)+1&lt;=$E$374,RAND(),IF(A382&gt;=$D$374,"",RAND())),RAND()))</f>
        <v/>
      </c>
      <c r="G387" s="1" t="str">
        <f ca="1">INDEX(A407:A420,MATCH(LARGE(B407:B420,1),B407:B420,0))</f>
        <v>Raven</v>
      </c>
      <c r="H387" s="1"/>
      <c r="I387" s="1"/>
      <c r="J387" s="1"/>
    </row>
    <row r="388" spans="1:11" x14ac:dyDescent="0.25">
      <c r="A388" t="str">
        <f ca="1">G387</f>
        <v>Raven</v>
      </c>
      <c r="B388">
        <v>101</v>
      </c>
      <c r="C388" t="str">
        <f ca="1">IF($I$26="On",INDEX(Sheet4!B94:R94,MATCH(Game!$C$375,Sheet4!$B$92:$R$92,0)),H366)</f>
        <v>Matt</v>
      </c>
      <c r="D388">
        <f t="shared" ca="1" si="40"/>
        <v>68.143352648752639</v>
      </c>
      <c r="E388" t="str">
        <f ca="1">IF(COUNTIF($E$375:$E$376,C388)&gt;=1,"",IF($I$26="On",IF(LARGE($D$392:D402,1)+1&lt;=$E$374,RAND(),IF(A383&gt;=$D$374,"",RAND())),RAND()))</f>
        <v/>
      </c>
    </row>
    <row r="389" spans="1:11" x14ac:dyDescent="0.25">
      <c r="A389" t="str">
        <f ca="1">INDEX(Sheet4!B110:R110,MATCH(LARGE(Sheet4!B111:R111,2),Sheet4!B111:R111,0))</f>
        <v>Jessica</v>
      </c>
      <c r="B389">
        <f ca="1">LARGE(Sheet4!B111:R111,2)</f>
        <v>82.335943293871836</v>
      </c>
      <c r="C389" t="str">
        <f ca="1">IF($I$26="On",INDEX(Sheet4!B93:R93,MATCH(Game!$C$375,Sheet4!$B$92:$R$92,0)),H367)</f>
        <v>Ramses</v>
      </c>
      <c r="D389">
        <f t="shared" ca="1" si="40"/>
        <v>74.254574277272255</v>
      </c>
      <c r="E389" t="str">
        <f ca="1">IF(COUNTIF($E$375:$E$376,C389)&gt;=1,"",IF($I$26="On",IF(LARGE($D$392:D403,1)+1&lt;=$E$374,RAND(),IF(A384&gt;=$D$374,"",RAND())),RAND()))</f>
        <v/>
      </c>
      <c r="G389" s="2" t="s">
        <v>104</v>
      </c>
      <c r="H389" s="1"/>
      <c r="I389" s="1"/>
      <c r="J389" s="1"/>
      <c r="K389" s="1"/>
    </row>
    <row r="390" spans="1:11" x14ac:dyDescent="0.25">
      <c r="A390" t="str">
        <f ca="1">INDEX(Sheet4!B110:R110,MATCH(LARGE(Sheet4!B111:R111,3),Sheet4!B111:R111,0))</f>
        <v>Cody</v>
      </c>
      <c r="B390">
        <f ca="1">LARGE(Sheet4!B111:R111,3)</f>
        <v>73.03778757742748</v>
      </c>
      <c r="G390" s="1" t="str">
        <f ca="1">G387&amp;" will need to select 3 houseguests to wear Ve-Toad"</f>
        <v>Raven will need to select 3 houseguests to wear Ve-Toad</v>
      </c>
      <c r="H390" s="1"/>
      <c r="I390" s="1"/>
      <c r="J390" s="1"/>
      <c r="K390" s="1"/>
    </row>
    <row r="391" spans="1:11" x14ac:dyDescent="0.25">
      <c r="A391" t="str">
        <f ca="1">INDEX(Sheet4!B110:R110,MATCH(LARGE(Sheet4!B111:R111,4),Sheet4!B111:R111,0))</f>
        <v>Ramses</v>
      </c>
      <c r="B391">
        <f ca="1">LARGE(Sheet4!B111:R111,4)</f>
        <v>61.058885096535313</v>
      </c>
      <c r="G391" s="1" t="s">
        <v>143</v>
      </c>
      <c r="H391" s="1"/>
      <c r="I391" s="1"/>
      <c r="J391" s="1"/>
      <c r="K391" s="1"/>
    </row>
    <row r="392" spans="1:11" x14ac:dyDescent="0.25">
      <c r="A392" t="str">
        <f ca="1">INDEX(Sheet4!B110:R110,MATCH(LARGE(Sheet4!B111:R111,5),Sheet4!B111:R111,0))</f>
        <v>Elena</v>
      </c>
      <c r="B392">
        <f ca="1">LARGE(Sheet4!B111:R111,5)</f>
        <v>56.2767320805171</v>
      </c>
      <c r="D392">
        <f ca="1">IF(E377="","",0.5)</f>
        <v>0.5</v>
      </c>
      <c r="G392" s="1" t="str">
        <f ca="1">G387&amp;" selects…"</f>
        <v>Raven selects…</v>
      </c>
      <c r="H392" s="1"/>
      <c r="I392" s="1"/>
      <c r="J392" s="1"/>
      <c r="K392" s="1"/>
    </row>
    <row r="393" spans="1:11" x14ac:dyDescent="0.25">
      <c r="A393" t="str">
        <f ca="1">INDEX(Sheet4!B110:R110,MATCH(LARGE(Sheet4!B111:R111,6),Sheet4!B111:R111,0))</f>
        <v>Christmas</v>
      </c>
      <c r="B393">
        <f ca="1">LARGE(Sheet4!B111:R111,6)</f>
        <v>49.206725336114673</v>
      </c>
      <c r="D393">
        <f ca="1">IF(E378="","",IF(D392="",0.5,SMALL(D392,1)+1))</f>
        <v>1.5</v>
      </c>
      <c r="G393" s="1" t="str">
        <f ca="1">F394&amp;", "&amp;F395&amp;" and "&amp;F396</f>
        <v>Paul, Mark and Matt</v>
      </c>
      <c r="H393" s="1"/>
      <c r="I393" s="1"/>
      <c r="J393" s="1"/>
      <c r="K393" s="1"/>
    </row>
    <row r="394" spans="1:11" x14ac:dyDescent="0.25">
      <c r="A394" t="str">
        <f ca="1">INDEX(Sheet4!B110:R110,MATCH(LARGE(Sheet4!B111:R111,7),Sheet4!B111:R111,0))</f>
        <v>Cameron</v>
      </c>
      <c r="B394">
        <f ca="1">LARGE(Sheet4!B111:R111,7)</f>
        <v>47.409368445659858</v>
      </c>
      <c r="D394">
        <f ca="1">IF(E379="","",IF(COUNTIF(D392:D393,"")=2,0.5,LARGE(D392:D393,1)+1))</f>
        <v>2.5</v>
      </c>
      <c r="F394" t="str">
        <f ca="1">IF($I$26="On",INDEX(Sheet4!B105:R105,MATCH(Game!G387,Sheet4!B92:R92,0)),INDEX(A407:A420,MATCH(SMALL(A437:A450,1),A437:A450,0)))</f>
        <v>Paul</v>
      </c>
    </row>
    <row r="395" spans="1:11" x14ac:dyDescent="0.25">
      <c r="A395" t="str">
        <f ca="1">INDEX(Sheet4!B110:R110,MATCH(LARGE(Sheet4!B111:R111,8),Sheet4!B111:R111,0))</f>
        <v>Alex</v>
      </c>
      <c r="B395">
        <f ca="1">LARGE(Sheet4!B111:R111,8)</f>
        <v>27.072683409527087</v>
      </c>
      <c r="D395">
        <f ca="1">IF(E380="","",LARGE(D392:D394,1)+1)</f>
        <v>3.5</v>
      </c>
      <c r="F395" t="str">
        <f ca="1">IF($I$26="On",INDEX(Sheet4!B104:R104,MATCH(Game!G387,Sheet4!B92:R92,0)),INDEX(A407:A420,MATCH(SMALL(A437:A450,2),A437:A450,0)))</f>
        <v>Mark</v>
      </c>
      <c r="G395" s="2" t="s">
        <v>83</v>
      </c>
    </row>
    <row r="396" spans="1:11" x14ac:dyDescent="0.25">
      <c r="A396" t="str">
        <f ca="1">INDEX(Sheet4!B110:R110,MATCH(LARGE(Sheet4!B111:R111,9),Sheet4!B111:R111,0))</f>
        <v>Jason</v>
      </c>
      <c r="B396">
        <f ca="1">LARGE(Sheet4!B111:R111,9)</f>
        <v>26.449699295094824</v>
      </c>
      <c r="D396">
        <f ca="1">IF(E381="","",LARGE(D393:D395,1)+1)</f>
        <v>4.5</v>
      </c>
      <c r="F396" t="str">
        <f ca="1">IF($I$26="On",INDEX(Sheet4!B103:R103,MATCH(Game!G387,Sheet4!B92:R92,0)),INDEX(A407:A420,MATCH(SMALL(A437:A450,3),A437:A450,0)))</f>
        <v>Matt</v>
      </c>
      <c r="G396" s="1" t="str">
        <f ca="1">"The first person "&amp;H368&amp;" has nominated is…"</f>
        <v>The first person Josh has nominated is…</v>
      </c>
    </row>
    <row r="397" spans="1:11" x14ac:dyDescent="0.25">
      <c r="A397" t="str">
        <f ca="1">INDEX(Sheet4!B110:R110,MATCH(LARGE(Sheet4!B111:R111,10),Sheet4!B111:R111,0))</f>
        <v>Jillian</v>
      </c>
      <c r="B397">
        <f ca="1">LARGE(Sheet4!B111:R111,10)</f>
        <v>25.012998050500968</v>
      </c>
      <c r="C397" t="str">
        <f ca="1">G261</f>
        <v>Jason</v>
      </c>
      <c r="D397" t="str">
        <f ca="1">IF(E382="","",LARGE(D394:D396,1)+1)</f>
        <v/>
      </c>
      <c r="F397" t="str">
        <f ca="1">INDEX(C377:C389,MATCH(SMALL(D377:D389,1),D377:D389,0))</f>
        <v>Elena</v>
      </c>
      <c r="G397" s="1" t="str">
        <f ca="1">F397</f>
        <v>Elena</v>
      </c>
    </row>
    <row r="398" spans="1:11" x14ac:dyDescent="0.25">
      <c r="A398" t="str">
        <f ca="1">INDEX(Sheet4!B110:R110,MATCH(LARGE(Sheet4!B111:R111,11),Sheet4!B111:R111,0))</f>
        <v>Josh</v>
      </c>
      <c r="B398">
        <f ca="1">LARGE(Sheet4!B111:R111,11)</f>
        <v>16.322321659313264</v>
      </c>
      <c r="E398">
        <f>Sheet4!$A$66</f>
        <v>65</v>
      </c>
      <c r="F398" t="str">
        <f ca="1">INDEX(C377:C389,MATCH(SMALL(D377:D389,2),D377:D389,0))</f>
        <v>Paul</v>
      </c>
      <c r="G398" s="1" t="str">
        <f ca="1">"The second person "&amp;H368&amp;" has nominated is…"</f>
        <v>The second person Josh has nominated is…</v>
      </c>
    </row>
    <row r="399" spans="1:11" x14ac:dyDescent="0.25">
      <c r="A399" t="str">
        <f ca="1">INDEX(Sheet4!B110:R110,MATCH(LARGE(Sheet4!B111:R111,12),Sheet4!B111:R111,0))</f>
        <v>Matt</v>
      </c>
      <c r="B399">
        <f ca="1">LARGE(Sheet4!B111:R111,12)</f>
        <v>16.041606218120869</v>
      </c>
      <c r="D399" t="str">
        <f ca="1">G397</f>
        <v>Elena</v>
      </c>
      <c r="E399">
        <f ca="1">INDEX(B388:B401,MATCH(D399,A388:A401,0))</f>
        <v>56.2767320805171</v>
      </c>
      <c r="F399" t="str">
        <f ca="1">IF(F404=1,F403,"")</f>
        <v/>
      </c>
      <c r="G399" s="1" t="str">
        <f ca="1">F398</f>
        <v>Paul</v>
      </c>
    </row>
    <row r="400" spans="1:11" x14ac:dyDescent="0.25">
      <c r="A400" t="str">
        <f ca="1">INDEX(Sheet4!B110:R110,MATCH(LARGE(Sheet4!B111:R111,13),Sheet4!B111:R111,0))</f>
        <v>Mark</v>
      </c>
      <c r="B400">
        <f ca="1">LARGE(Sheet4!B111:R111,13)</f>
        <v>14.404075662040396</v>
      </c>
      <c r="D400" t="str">
        <f ca="1">G399</f>
        <v>Paul</v>
      </c>
      <c r="E400">
        <f ca="1">INDEX(B388:B401,MATCH(D400,A388:A401,0))</f>
        <v>3.2624021588646253</v>
      </c>
      <c r="F400" t="str">
        <f ca="1">INDEX(C377:C389,MATCH(SMALL(D377:D389,3),D377:D389,0))</f>
        <v>Christmas</v>
      </c>
      <c r="G400" s="1"/>
    </row>
    <row r="401" spans="1:9" x14ac:dyDescent="0.25">
      <c r="A401" t="str">
        <f ca="1">INDEX(Sheet4!B110:R110,MATCH(LARGE(Sheet4!B111:R111,14),Sheet4!B111:R111,0))</f>
        <v>Paul</v>
      </c>
      <c r="B401">
        <f ca="1">LARGE(Sheet4!B111:R111,14)</f>
        <v>3.2624021588646253</v>
      </c>
      <c r="D401" t="str">
        <f ca="1">IF(F404=1,F403,"")</f>
        <v/>
      </c>
      <c r="E401" t="str">
        <f ca="1">IF(D401="","",INDEX(B388:B401,MATCH(D401,A388:A401,0)))</f>
        <v/>
      </c>
      <c r="F401" t="str">
        <f ca="1">INDEX(C377:C389,MATCH(SMALL(D377:D389,4),D377:D389,0))</f>
        <v>Mark</v>
      </c>
      <c r="G401" s="1" t="str">
        <f ca="1">IF(F404=1,F403&amp;" stands up and has decided to use the curse","")</f>
        <v/>
      </c>
    </row>
    <row r="402" spans="1:9" x14ac:dyDescent="0.25">
      <c r="B402" t="str">
        <f ca="1">H368</f>
        <v>Josh</v>
      </c>
      <c r="D402">
        <f ca="1">COUNTIF(E399:E401,"&gt;="&amp;E398)</f>
        <v>0</v>
      </c>
      <c r="E402">
        <f ca="1">IF(E401="",2,3)</f>
        <v>2</v>
      </c>
      <c r="F402" t="str">
        <f ca="1">INDEX(C377:C389,MATCH(SMALL(D377:D389,5),D377:D389,0))</f>
        <v>Raven</v>
      </c>
      <c r="G402" s="1" t="str">
        <f ca="1">IF(G401="","",F403&amp;" is now the 3rd nominee")</f>
        <v/>
      </c>
    </row>
    <row r="403" spans="1:9" x14ac:dyDescent="0.25">
      <c r="B403" t="str">
        <f ca="1">G397</f>
        <v>Elena</v>
      </c>
      <c r="E403">
        <f ca="1">IF(E402=2,IF(D402=2,3.5,D402+0.5),D402+0.5)</f>
        <v>0.5</v>
      </c>
      <c r="F403" s="1" t="str">
        <f ca="1">G282</f>
        <v>Ramses</v>
      </c>
    </row>
    <row r="404" spans="1:9" x14ac:dyDescent="0.25">
      <c r="B404" t="str">
        <f ca="1">G399</f>
        <v>Paul</v>
      </c>
      <c r="E404" t="str">
        <f ca="1">IF(F404=1,F403,"")</f>
        <v/>
      </c>
      <c r="F404" s="1">
        <f ca="1">IF(G339=G282,"",IF(COUNTIF(H368,F403)+COUNTIF(F397:F398,F403)=1,"CAN'T",RANDBETWEEN(1,3)))</f>
        <v>2</v>
      </c>
      <c r="G404" s="2" t="s">
        <v>105</v>
      </c>
    </row>
    <row r="405" spans="1:9" x14ac:dyDescent="0.25">
      <c r="B405" t="str">
        <f ca="1">IF(F404=1,F403,"")</f>
        <v/>
      </c>
      <c r="C405" t="str">
        <f ca="1">H405</f>
        <v>Jason</v>
      </c>
      <c r="D405" t="str">
        <f ca="1">H406</f>
        <v>Christmas</v>
      </c>
      <c r="E405" t="str">
        <f ca="1">H407</f>
        <v>Jessica</v>
      </c>
      <c r="F405" t="str">
        <f ca="1">G397</f>
        <v>Elena</v>
      </c>
      <c r="G405" t="str">
        <f ca="1">H368&amp;"-"</f>
        <v>Josh-</v>
      </c>
      <c r="H405" s="29" t="str">
        <f ca="1">INDEX(A407:A421,MATCH(LARGE(C407:C421,1),C407:C421,0))</f>
        <v>Jason</v>
      </c>
      <c r="I405" s="29" t="str">
        <f ca="1">IF(H405="HGC",IF($I$26="On",INDEX(A424:A425,MATCH(SMALL(B424:B425,1),B424:B425,0)),INDEX(A407:A421,MATCH(LARGE(C407:C421,2),C407:C421,0))),"")</f>
        <v/>
      </c>
    </row>
    <row r="406" spans="1:9" x14ac:dyDescent="0.25">
      <c r="C406" t="str">
        <f ca="1">I405</f>
        <v/>
      </c>
      <c r="D406" t="str">
        <f ca="1">I406</f>
        <v/>
      </c>
      <c r="F406" t="str">
        <f ca="1">G399</f>
        <v>Paul</v>
      </c>
      <c r="G406" t="str">
        <f ca="1">IF(G401="",G397&amp;"-",H368&amp;"-")</f>
        <v>Elena-</v>
      </c>
      <c r="H406" s="29" t="str">
        <f ca="1">INDEX(A407:A421,MATCH(LARGE(D407:D421,1),D407:D421,0))</f>
        <v>Christmas</v>
      </c>
      <c r="I406" s="29" t="str">
        <f ca="1">IF(H406="HGC",IF($I$26="On",INDEX(C424:C427,MATCH(SMALL(D424:D427,1),D424:D427,0)),INDEX(A407:A421,MATCH(LARGE(D407:D421,1),D407:D421,0))),"")</f>
        <v/>
      </c>
    </row>
    <row r="407" spans="1:9" x14ac:dyDescent="0.25">
      <c r="A407" t="str">
        <f t="shared" ref="A407:A420" ca="1" si="41">C360</f>
        <v>Alex</v>
      </c>
      <c r="B407">
        <f ca="1">IF(A407=$C$397,"",IF($I$23="On",INDEX(Sheet4!$V$2:$V$18,MATCH(Game!A407,Sheet4!$T$2:$T$18,0)),RAND()))</f>
        <v>9.2615855959926066</v>
      </c>
      <c r="C407">
        <f t="shared" ref="C407:C420" ca="1" si="42">IF(COUNTIF($B$402:$B$405,A407)=1,"",RAND())</f>
        <v>0.29220712698658446</v>
      </c>
      <c r="D407">
        <f t="shared" ref="D407:D421" ca="1" si="43">IF(C407="","",IF(COUNTIF($C$405:$C$406,A407)=1,"",RAND()))</f>
        <v>0.12039267717447133</v>
      </c>
      <c r="E407">
        <f ca="1">IF(D407="","",IF(COUNTIF($D$405:$D$406,A407)=1,"",RAND()))</f>
        <v>0.47552445565315293</v>
      </c>
      <c r="F407" t="str">
        <f ca="1">IF(F404=1,F403,"")</f>
        <v/>
      </c>
      <c r="G407" t="str">
        <f ca="1">IF(G401="",G399&amp;"-","")</f>
        <v>Paul-</v>
      </c>
      <c r="H407" s="29" t="str">
        <f ca="1">IF(G407="","",INDEX(A407:A421,MATCH(LARGE(E407:E421,1),E407:E421,0)))</f>
        <v>Jessica</v>
      </c>
      <c r="I407" s="29" t="str">
        <f ca="1">IF(H407="HGC",IF($I$26="On",INDEX(E424:E429,MATCH(SMALL(F424:F429,1),F424:F429,0)),INDEX(A407:A421,MATCH(LARGE(E407:E421,2),E407:E421,0))),"")</f>
        <v/>
      </c>
    </row>
    <row r="408" spans="1:9" x14ac:dyDescent="0.25">
      <c r="A408" t="str">
        <f t="shared" ca="1" si="41"/>
        <v>Cameron</v>
      </c>
      <c r="B408">
        <f ca="1">IF(A408=$C$397,"",IF($I$23="On",INDEX(Sheet4!$V$2:$V$18,MATCH(Game!A408,Sheet4!$T$2:$T$18,0)),RAND()))</f>
        <v>8.3683230866850327</v>
      </c>
      <c r="C408">
        <f t="shared" ca="1" si="42"/>
        <v>0.4974072515609772</v>
      </c>
      <c r="D408">
        <f t="shared" ca="1" si="43"/>
        <v>0.44805498016270895</v>
      </c>
      <c r="E408">
        <f t="shared" ref="E408:E421" ca="1" si="44">IF(D408="","",IF(COUNTIF($D$405:$D$406,A408)=1,"",RAND()))</f>
        <v>0.12534469407124937</v>
      </c>
    </row>
    <row r="409" spans="1:9" x14ac:dyDescent="0.25">
      <c r="A409" t="str">
        <f t="shared" ca="1" si="41"/>
        <v>Christmas</v>
      </c>
      <c r="B409">
        <f ca="1">IF(A409=$C$397,"",IF($I$23="On",INDEX(Sheet4!$V$2:$V$18,MATCH(Game!A409,Sheet4!$T$2:$T$18,0)),RAND()))</f>
        <v>14.429473734491626</v>
      </c>
      <c r="C409">
        <f t="shared" ca="1" si="42"/>
        <v>0.9197942785714045</v>
      </c>
      <c r="D409">
        <f t="shared" ca="1" si="43"/>
        <v>0.93004362279253017</v>
      </c>
      <c r="E409" t="str">
        <f t="shared" ca="1" si="44"/>
        <v/>
      </c>
      <c r="G409" s="1" t="str">
        <f ca="1">IF(F412="Yes",F410&amp;" stands up and decides to use The Ring of Replacement","")</f>
        <v/>
      </c>
    </row>
    <row r="410" spans="1:9" x14ac:dyDescent="0.25">
      <c r="A410" t="str">
        <f t="shared" ca="1" si="41"/>
        <v>Cody</v>
      </c>
      <c r="B410">
        <f ca="1">IF(A410=$C$397,"",IF($I$23="On",INDEX(Sheet4!$V$2:$V$18,MATCH(Game!A410,Sheet4!$T$2:$T$18,0)),RAND()))</f>
        <v>82.006423014722174</v>
      </c>
      <c r="C410">
        <f t="shared" ca="1" si="42"/>
        <v>9.8320932899647495E-2</v>
      </c>
      <c r="D410">
        <f t="shared" ca="1" si="43"/>
        <v>0.61737994007464581</v>
      </c>
      <c r="E410">
        <f t="shared" ca="1" si="44"/>
        <v>0.282454090678529</v>
      </c>
      <c r="F410" s="1" t="str">
        <f ca="1">$G$387</f>
        <v>Raven</v>
      </c>
      <c r="G410" s="1" t="str">
        <f ca="1">IF(G409="","",F410&amp;" uses it to replace…")</f>
        <v/>
      </c>
    </row>
    <row r="411" spans="1:9" x14ac:dyDescent="0.25">
      <c r="A411" t="str">
        <f t="shared" ca="1" si="41"/>
        <v>Elena</v>
      </c>
      <c r="B411">
        <f ca="1">IF(A411=$C$397,"",IF($I$23="On",INDEX(Sheet4!$V$2:$V$18,MATCH(Game!A411,Sheet4!$T$2:$T$18,0)),RAND()))</f>
        <v>49.196102551881488</v>
      </c>
      <c r="C411" t="str">
        <f t="shared" ca="1" si="42"/>
        <v/>
      </c>
      <c r="D411" t="str">
        <f t="shared" ca="1" si="43"/>
        <v/>
      </c>
      <c r="E411" t="str">
        <f t="shared" ca="1" si="44"/>
        <v/>
      </c>
      <c r="F411" s="1">
        <f ca="1">IF(COUNTIF(H368,F410)+COUNTIF(F397:F399,F410)+COUNTIF(H405:I407,F410)+COUNTIF(A427,F410)+COUNTIF(E404,F410)&gt;=1,"IN",IF($I$26="On",RANDBETWEEN(1,3),RANDBETWEEN(1,6)))</f>
        <v>3</v>
      </c>
      <c r="G411" s="1" t="str">
        <f ca="1">IF(G410="","",INDEX(A433:A435,MATCH(SMALL(B433:B435,1),B433:B435,0)))</f>
        <v/>
      </c>
    </row>
    <row r="412" spans="1:9" x14ac:dyDescent="0.25">
      <c r="A412" t="str">
        <f t="shared" ca="1" si="41"/>
        <v>Jason</v>
      </c>
      <c r="B412" t="str">
        <f ca="1">IF(A412=$C$397,"",IF($I$23="On",INDEX(Sheet4!$V$2:$V$18,MATCH(Game!A412,Sheet4!$T$2:$T$18,0)),RAND()))</f>
        <v/>
      </c>
      <c r="C412">
        <f t="shared" ca="1" si="42"/>
        <v>0.94910113290965115</v>
      </c>
      <c r="D412" t="str">
        <f t="shared" ca="1" si="43"/>
        <v/>
      </c>
      <c r="E412" t="str">
        <f t="shared" ca="1" si="44"/>
        <v/>
      </c>
      <c r="F412" t="str">
        <f ca="1">IF(F411="IN","No",IF($I$26="On",IF(F411&lt;=E403,"Yes","No"),IF(F411=1,"Yes","No")))</f>
        <v>No</v>
      </c>
    </row>
    <row r="413" spans="1:9" x14ac:dyDescent="0.25">
      <c r="A413" t="str">
        <f t="shared" ca="1" si="41"/>
        <v>Jessica</v>
      </c>
      <c r="B413">
        <f ca="1">IF(A413=$C$397,"",IF($I$23="On",INDEX(Sheet4!$V$2:$V$18,MATCH(Game!A413,Sheet4!$T$2:$T$18,0)),RAND()))</f>
        <v>23.221878678753313</v>
      </c>
      <c r="C413">
        <f t="shared" ca="1" si="42"/>
        <v>0.77115040550078795</v>
      </c>
      <c r="D413">
        <f t="shared" ca="1" si="43"/>
        <v>0.33681937603522771</v>
      </c>
      <c r="E413">
        <f t="shared" ca="1" si="44"/>
        <v>0.97810644689347925</v>
      </c>
      <c r="G413" s="2" t="s">
        <v>106</v>
      </c>
    </row>
    <row r="414" spans="1:9" x14ac:dyDescent="0.25">
      <c r="A414" t="str">
        <f t="shared" ca="1" si="41"/>
        <v>Jillian</v>
      </c>
      <c r="B414">
        <f ca="1">IF(A414=$C$397,"",IF($I$23="On",INDEX(Sheet4!$V$2:$V$18,MATCH(Game!A414,Sheet4!$T$2:$T$18,0)),RAND()))</f>
        <v>35.114874770631879</v>
      </c>
      <c r="C414">
        <f t="shared" ca="1" si="42"/>
        <v>0.87993413886289895</v>
      </c>
      <c r="D414">
        <f t="shared" ca="1" si="43"/>
        <v>0.73076770939275593</v>
      </c>
      <c r="E414">
        <f t="shared" ca="1" si="44"/>
        <v>0.7976046793071262</v>
      </c>
      <c r="G414" s="29" t="str">
        <f ca="1">H368</f>
        <v>Josh</v>
      </c>
      <c r="H414" s="29" t="str">
        <f ca="1">G397</f>
        <v>Elena</v>
      </c>
      <c r="I414" s="29" t="str">
        <f ca="1">G399</f>
        <v>Paul</v>
      </c>
    </row>
    <row r="415" spans="1:9" x14ac:dyDescent="0.25">
      <c r="A415" t="str">
        <f t="shared" ca="1" si="41"/>
        <v>Josh</v>
      </c>
      <c r="B415">
        <f ca="1">IF(A415=$C$397,"",IF($I$23="On",INDEX(Sheet4!$V$2:$V$18,MATCH(Game!A415,Sheet4!$T$2:$T$18,0)),RAND()))</f>
        <v>67.29078444552934</v>
      </c>
      <c r="C415" t="str">
        <f t="shared" ca="1" si="42"/>
        <v/>
      </c>
      <c r="D415" t="str">
        <f t="shared" ca="1" si="43"/>
        <v/>
      </c>
      <c r="E415" t="str">
        <f t="shared" ca="1" si="44"/>
        <v/>
      </c>
      <c r="G415" s="29" t="str">
        <f ca="1">IF(F404=1,F403,C433)</f>
        <v>Jason</v>
      </c>
      <c r="H415" s="29" t="str">
        <f ca="1">IF(F404=1,C433,C434)</f>
        <v>Christmas</v>
      </c>
      <c r="I415" s="29" t="str">
        <f ca="1">IF(F404=1,C434,C435)</f>
        <v>Jessica</v>
      </c>
    </row>
    <row r="416" spans="1:9" x14ac:dyDescent="0.25">
      <c r="A416" t="str">
        <f t="shared" ca="1" si="41"/>
        <v>Mark</v>
      </c>
      <c r="B416">
        <f ca="1">IF(A416=$C$397,"",IF($I$23="On",INDEX(Sheet4!$V$2:$V$18,MATCH(Game!A416,Sheet4!$T$2:$T$18,0)),RAND()))</f>
        <v>47.102769592715191</v>
      </c>
      <c r="C416">
        <f t="shared" ca="1" si="42"/>
        <v>0.76077065234403074</v>
      </c>
      <c r="D416">
        <f t="shared" ca="1" si="43"/>
        <v>0.83319033438629153</v>
      </c>
      <c r="E416">
        <f t="shared" ca="1" si="44"/>
        <v>0.36296099497063472</v>
      </c>
      <c r="F416" t="str">
        <f ca="1">INDEX(A407:A422,MATCH(LARGE(E407:E422,3),E407:E422,0))</f>
        <v>HGC</v>
      </c>
      <c r="G416" t="s">
        <v>107</v>
      </c>
      <c r="H416" t="str">
        <f ca="1">INDEX(F416:F419,MATCH(SMALL(F420:F423,1),F420:F423,0))</f>
        <v>Matt</v>
      </c>
    </row>
    <row r="417" spans="1:8" x14ac:dyDescent="0.25">
      <c r="A417" t="str">
        <f t="shared" ca="1" si="41"/>
        <v>Matt</v>
      </c>
      <c r="B417">
        <f ca="1">IF(A417=$C$397,"",IF($I$23="On",INDEX(Sheet4!$V$2:$V$18,MATCH(Game!A417,Sheet4!$T$2:$T$18,0)),RAND()))</f>
        <v>24.238827332358262</v>
      </c>
      <c r="C417">
        <f t="shared" ca="1" si="42"/>
        <v>0.15845289280211028</v>
      </c>
      <c r="D417">
        <f t="shared" ca="1" si="43"/>
        <v>0.31371193434287459</v>
      </c>
      <c r="E417">
        <f t="shared" ca="1" si="44"/>
        <v>0.62954132431311571</v>
      </c>
      <c r="F417" t="str">
        <f ca="1">INDEX(A407:A422,MATCH(LARGE(E407:E422,4),E407:E422,0))</f>
        <v>Matt</v>
      </c>
    </row>
    <row r="418" spans="1:8" x14ac:dyDescent="0.25">
      <c r="A418" t="str">
        <f t="shared" ca="1" si="41"/>
        <v>Paul</v>
      </c>
      <c r="B418">
        <f ca="1">IF(A418=$C$397,"",IF($I$23="On",INDEX(Sheet4!$V$2:$V$18,MATCH(Game!A418,Sheet4!$T$2:$T$18,0)),RAND()))</f>
        <v>26.431621916763437</v>
      </c>
      <c r="C418" t="str">
        <f t="shared" ca="1" si="42"/>
        <v/>
      </c>
      <c r="D418" t="str">
        <f t="shared" ca="1" si="43"/>
        <v/>
      </c>
      <c r="E418" t="str">
        <f t="shared" ca="1" si="44"/>
        <v/>
      </c>
      <c r="F418" t="str">
        <f ca="1">INDEX(A407:A422,MATCH(LARGE(E407:E422,5),E407:E422,0))</f>
        <v>Alex</v>
      </c>
      <c r="G418" t="s">
        <v>48</v>
      </c>
      <c r="H418" t="str">
        <f ca="1">INDEX(D430:D435,MATCH(SMALL(E430:E435,1),E430:E435,0))</f>
        <v>Elena</v>
      </c>
    </row>
    <row r="419" spans="1:8" x14ac:dyDescent="0.25">
      <c r="A419" t="str">
        <f t="shared" ca="1" si="41"/>
        <v>Ramses</v>
      </c>
      <c r="B419">
        <f ca="1">IF(A419=$C$397,"",IF($I$23="On",INDEX(Sheet4!$V$2:$V$18,MATCH(Game!A419,Sheet4!$T$2:$T$18,0)),RAND()))</f>
        <v>38.221920435608901</v>
      </c>
      <c r="C419">
        <f t="shared" ca="1" si="42"/>
        <v>0.33002377850253717</v>
      </c>
      <c r="D419">
        <f t="shared" ca="1" si="43"/>
        <v>0.80741300932307525</v>
      </c>
      <c r="E419">
        <f t="shared" ca="1" si="44"/>
        <v>0.19204787611631757</v>
      </c>
      <c r="F419" t="str">
        <f ca="1">INDEX(A407:A422,MATCH(LARGE(E407:E422,6),E407:E422,0))</f>
        <v>Mark</v>
      </c>
      <c r="G419" t="s">
        <v>49</v>
      </c>
      <c r="H419" t="str">
        <f ca="1">INDEX(D430:D435,MATCH(SMALL(E430:E435,2),E430:E435,0))</f>
        <v>Jason</v>
      </c>
    </row>
    <row r="420" spans="1:8" x14ac:dyDescent="0.25">
      <c r="A420" t="str">
        <f t="shared" ca="1" si="41"/>
        <v>Raven</v>
      </c>
      <c r="B420">
        <f ca="1">IF(A420=$C$397,"",IF($I$23="On",INDEX(Sheet4!$V$2:$V$18,MATCH(Game!A420,Sheet4!$T$2:$T$18,0)),RAND()))</f>
        <v>95.192597657999087</v>
      </c>
      <c r="C420">
        <f t="shared" ca="1" si="42"/>
        <v>0.50417611569604392</v>
      </c>
      <c r="D420">
        <f t="shared" ca="1" si="43"/>
        <v>0.29406864314678527</v>
      </c>
      <c r="E420">
        <f t="shared" ca="1" si="44"/>
        <v>0.24957075873310297</v>
      </c>
      <c r="F420" t="str">
        <f ca="1">IF(F416="HGC","",IF(COUNTIF(G414:I415,F416)=1,"",1))</f>
        <v/>
      </c>
      <c r="G420" t="s">
        <v>50</v>
      </c>
      <c r="H420" t="str">
        <f ca="1">INDEX(D430:D435,MATCH(SMALL(E430:E435,3),E430:E435,0))</f>
        <v>Jessica</v>
      </c>
    </row>
    <row r="421" spans="1:8" x14ac:dyDescent="0.25">
      <c r="A421" t="s">
        <v>89</v>
      </c>
      <c r="C421">
        <f ca="1">RAND()</f>
        <v>0.57157953037046993</v>
      </c>
      <c r="D421">
        <f t="shared" ca="1" si="43"/>
        <v>0.20953587902765358</v>
      </c>
      <c r="E421">
        <f t="shared" ca="1" si="44"/>
        <v>0.76839985880539075</v>
      </c>
      <c r="F421">
        <f ca="1">IF(F417="HGC","",IF(COUNTIF(G414:I415,F417)=1,"",2))</f>
        <v>2</v>
      </c>
      <c r="G421" t="s">
        <v>52</v>
      </c>
      <c r="H421" t="str">
        <f ca="1">INDEX(D430:D435,MATCH(SMALL(E430:E435,4),E430:E435,0))</f>
        <v>Paul</v>
      </c>
    </row>
    <row r="422" spans="1:8" x14ac:dyDescent="0.25">
      <c r="A422" t="str">
        <f ca="1">G411</f>
        <v/>
      </c>
      <c r="E422" t="str">
        <f ca="1">IF(A422="","",IF(I407=G411,"",RAND()))</f>
        <v/>
      </c>
      <c r="F422">
        <f ca="1">IF(F418="HGC","",IF(COUNTIF(G414:I415,F418)=1,"",3))</f>
        <v>3</v>
      </c>
      <c r="G422" t="s">
        <v>53</v>
      </c>
      <c r="H422" t="str">
        <f ca="1">INDEX(D430:D435,MATCH(SMALL(E430:E435,5),E430:E435,0))</f>
        <v>Josh</v>
      </c>
    </row>
    <row r="423" spans="1:8" x14ac:dyDescent="0.25">
      <c r="A423" t="str">
        <f ca="1">H368</f>
        <v>Josh</v>
      </c>
      <c r="C423" t="str">
        <f ca="1">IF(F404=1,H368,G397)</f>
        <v>Elena</v>
      </c>
      <c r="E423" t="str">
        <f ca="1">IF(F404=1,"",G399)</f>
        <v>Paul</v>
      </c>
      <c r="F423">
        <f ca="1">IF(F419="HGC","",IF(COUNTIF(G414:I415,F419)=1,"",4))</f>
        <v>4</v>
      </c>
      <c r="G423" t="s">
        <v>54</v>
      </c>
      <c r="H423" t="str">
        <f ca="1">INDEX(D430:D435,MATCH(SMALL(E430:E435,6),E430:E435,0))</f>
        <v>Christmas</v>
      </c>
    </row>
    <row r="424" spans="1:8" x14ac:dyDescent="0.25">
      <c r="A424" t="str">
        <f ca="1">INDEX(Sheet4!B93:R93,MATCH(Game!A423,Sheet4!B92:R92,0))</f>
        <v>Ramses</v>
      </c>
      <c r="B424">
        <f ca="1">IF(A424=A427,"",1)</f>
        <v>1</v>
      </c>
      <c r="C424" t="str">
        <f ca="1">INDEX(Sheet4!$B93:$R93,MATCH(Game!C$423,Sheet4!$B$92:$R$92,0))</f>
        <v>Cody</v>
      </c>
      <c r="D424">
        <f ca="1">IF(COUNTIF($A$427:$A$429,C424)&gt;=1,"",1)</f>
        <v>1</v>
      </c>
      <c r="E424" t="str">
        <f ca="1">INDEX(Sheet4!$B93:$R93,MATCH(Game!E$423,Sheet4!$B$92:$R$92,0))</f>
        <v>Jillian</v>
      </c>
      <c r="F424">
        <f ca="1">IF(E424="","",IF(COUNTIF($A$427:$A$431,E424)&gt;=1,"",1))</f>
        <v>1</v>
      </c>
      <c r="G424" t="str">
        <f ca="1">"Congratulations, "&amp;H423</f>
        <v>Congratulations, Christmas</v>
      </c>
    </row>
    <row r="425" spans="1:8" x14ac:dyDescent="0.25">
      <c r="A425" t="str">
        <f ca="1">INDEX(Sheet4!B94:R94,MATCH(Game!A423,Sheet4!B92:R92,0))</f>
        <v>Matt</v>
      </c>
      <c r="B425">
        <f ca="1">IF(A425=A427,"",2)</f>
        <v>2</v>
      </c>
      <c r="C425" t="str">
        <f ca="1">INDEX(Sheet4!$B94:$R94,MATCH(Game!C$423,Sheet4!$B$92:$R$92,0))</f>
        <v>Alex</v>
      </c>
      <c r="D425">
        <f ca="1">IF(COUNTIF($A$427:$A$429,C425)&gt;=1,"",2)</f>
        <v>2</v>
      </c>
      <c r="E425" t="str">
        <f ca="1">INDEX(Sheet4!$B94:$R94,MATCH(Game!E$423,Sheet4!$B$92:$R$92,0))</f>
        <v>Ramses</v>
      </c>
      <c r="F425">
        <f ca="1">IF(E425="","",IF(COUNTIF($A$427:$A$431,E425)&gt;=1,"",2))</f>
        <v>2</v>
      </c>
    </row>
    <row r="426" spans="1:8" x14ac:dyDescent="0.25">
      <c r="C426" t="str">
        <f ca="1">INDEX(Sheet4!$B95:$R95,MATCH(Game!C$423,Sheet4!$B$92:$R$92,0))</f>
        <v>Jessica</v>
      </c>
      <c r="D426">
        <f ca="1">IF(COUNTIF($A$427:$A$429,C426)&gt;=1,"",3)</f>
        <v>3</v>
      </c>
      <c r="E426" t="str">
        <f ca="1">INDEX(Sheet4!$B95:$R95,MATCH(Game!E$423,Sheet4!$B$92:$R$92,0))</f>
        <v>Matt</v>
      </c>
      <c r="F426">
        <f ca="1">IF(E426="","",IF(COUNTIF($A$427:$A$431,E426)&gt;=1,"",3))</f>
        <v>3</v>
      </c>
      <c r="G426" s="2" t="s">
        <v>111</v>
      </c>
    </row>
    <row r="427" spans="1:8" x14ac:dyDescent="0.25">
      <c r="A427" t="str">
        <f ca="1">IF(F404=1,F403,"")</f>
        <v/>
      </c>
      <c r="C427" t="str">
        <f ca="1">INDEX(Sheet4!$B96:$R96,MATCH(Game!C$423,Sheet4!$B$92:$R$92,0))</f>
        <v>Christmas</v>
      </c>
      <c r="D427">
        <f ca="1">IF(COUNTIF($A$427:$A$429,C427)&gt;=1,"",4)</f>
        <v>4</v>
      </c>
      <c r="E427" t="str">
        <f ca="1">INDEX(Sheet4!$B96:$R96,MATCH(Game!E$423,Sheet4!$B$92:$R$92,0))</f>
        <v>Christmas</v>
      </c>
      <c r="F427" t="str">
        <f ca="1">IF(E427="","",IF(COUNTIF($A$427:$A$431,E427)&gt;=1,"",4))</f>
        <v/>
      </c>
      <c r="G427" t="str">
        <f ca="1">H423&amp;" has decided to use the POV to save"</f>
        <v>Christmas has decided to use the POV to save</v>
      </c>
    </row>
    <row r="428" spans="1:8" x14ac:dyDescent="0.25">
      <c r="A428" t="str">
        <f ca="1">A423</f>
        <v>Josh</v>
      </c>
      <c r="E428" t="str">
        <f ca="1">INDEX(Sheet4!$B97:$R97,MATCH(Game!E$423,Sheet4!$B$92:$R$92,0))</f>
        <v>Jessica</v>
      </c>
      <c r="F428">
        <f ca="1">IF(E428="","",IF(COUNTIF($A$427:$A$431,E428)&gt;=1,"",5))</f>
        <v>5</v>
      </c>
      <c r="G428" t="str">
        <f ca="1">IF($I$26="On",Sheet4!A117,IF(COUNTIF(F405:F407,H423)=1,H423,IF(F430=1,F405,IF(F430=2,F406,IF(F407="","Neither Nominee",IF(F430=3,F407,"Nobody"))))))</f>
        <v>Neither Nominee</v>
      </c>
    </row>
    <row r="429" spans="1:8" x14ac:dyDescent="0.25">
      <c r="A429" t="str">
        <f ca="1">A433</f>
        <v>Jason</v>
      </c>
      <c r="E429" t="str">
        <f ca="1">INDEX(Sheet4!$B98:$R98,MATCH(Game!E$423,Sheet4!$B$92:$R$92,0))</f>
        <v>Jason</v>
      </c>
      <c r="F429" t="str">
        <f ca="1">IF(E429="","",IF(COUNTIF($A$427:$A$431,E429)&gt;=1,"",6))</f>
        <v/>
      </c>
      <c r="G429" t="str">
        <f ca="1">IF(G428=F407,"This POV Ceremony is adjourned",IF(G428="Nobody","This POV Ceremony is adjourned",IF(G428="Neither Nominee","This POV Ceremony is adjourned",H368&amp;" has decided to put up")))</f>
        <v>This POV Ceremony is adjourned</v>
      </c>
    </row>
    <row r="430" spans="1:8" x14ac:dyDescent="0.25">
      <c r="A430" t="str">
        <f ca="1">C423</f>
        <v>Elena</v>
      </c>
      <c r="D430" t="str">
        <f ca="1">G414</f>
        <v>Josh</v>
      </c>
      <c r="E430">
        <f t="shared" ref="E430:E435" ca="1" si="45">RAND()</f>
        <v>0.80530002947160162</v>
      </c>
      <c r="F430">
        <f ca="1">IF(F407="",RANDBETWEEN(1,4),RANDBETWEEN(1,6))</f>
        <v>3</v>
      </c>
      <c r="G430" t="str">
        <f ca="1">IF(COUNTIF(G429,"*adjourned")=1,"",INDEX(A452:A454,MATCH(SMALL(B452:B454,1),B452:B454,0)))</f>
        <v/>
      </c>
    </row>
    <row r="431" spans="1:8" x14ac:dyDescent="0.25">
      <c r="A431" t="str">
        <f ca="1">A434</f>
        <v>Christmas</v>
      </c>
      <c r="D431" t="str">
        <f ca="1">H414</f>
        <v>Elena</v>
      </c>
      <c r="E431">
        <f t="shared" ca="1" si="45"/>
        <v>5.148192557822695E-2</v>
      </c>
      <c r="G431" t="s">
        <v>112</v>
      </c>
    </row>
    <row r="432" spans="1:8" x14ac:dyDescent="0.25">
      <c r="D432" t="str">
        <f ca="1">I414</f>
        <v>Paul</v>
      </c>
      <c r="E432">
        <f t="shared" ca="1" si="45"/>
        <v>0.72566916199745279</v>
      </c>
      <c r="G432" t="str">
        <f ca="1">IF(G397=G428,G430,G397)</f>
        <v>Elena</v>
      </c>
    </row>
    <row r="433" spans="1:9" x14ac:dyDescent="0.25">
      <c r="A433" t="str">
        <f ca="1">IF(H405="HGC",I405,H405)</f>
        <v>Jason</v>
      </c>
      <c r="B433">
        <f ca="1">IF($I$26="On",INDEX(B388:B401,MATCH(A433,A388:A401,0)),RAND())</f>
        <v>26.449699295094824</v>
      </c>
      <c r="C433" t="str">
        <f ca="1">IF(A433=B436,A388,A433)</f>
        <v>Jason</v>
      </c>
      <c r="D433" t="str">
        <f ca="1">G415</f>
        <v>Jason</v>
      </c>
      <c r="E433">
        <f t="shared" ca="1" si="45"/>
        <v>0.34736505201525014</v>
      </c>
      <c r="G433" t="str">
        <f ca="1">IF(G399=G428,G430,G399)</f>
        <v>Paul</v>
      </c>
    </row>
    <row r="434" spans="1:9" x14ac:dyDescent="0.25">
      <c r="A434" t="str">
        <f ca="1">IF(H406="HGC",I406,H406)</f>
        <v>Christmas</v>
      </c>
      <c r="B434">
        <f ca="1">IF($I$26="On",INDEX(B388:B401,MATCH(A434,A388:A401,0)),RAND())</f>
        <v>49.206725336114673</v>
      </c>
      <c r="C434" t="str">
        <f ca="1">IF(A434=B436,A388,A434)</f>
        <v>Christmas</v>
      </c>
      <c r="D434" t="str">
        <f ca="1">H415</f>
        <v>Christmas</v>
      </c>
      <c r="E434">
        <f t="shared" ca="1" si="45"/>
        <v>0.88578071752198606</v>
      </c>
      <c r="G434" t="str">
        <f ca="1">IF(F407=G428,"",F407)</f>
        <v/>
      </c>
    </row>
    <row r="435" spans="1:9" x14ac:dyDescent="0.25">
      <c r="A435" t="str">
        <f ca="1">IF(H407="","",IF(H407="HGC",I407,H407))</f>
        <v>Jessica</v>
      </c>
      <c r="B435">
        <f ca="1">IF(A435="","",IF($I$26="On",INDEX(B388:B401,MATCH(A435,A388:A401,0)),RAND()))</f>
        <v>82.335943293871836</v>
      </c>
      <c r="C435" t="str">
        <f ca="1">IF(A435="","",IF(A435=B436,A388,A435))</f>
        <v>Jessica</v>
      </c>
      <c r="D435" t="str">
        <f ca="1">I415</f>
        <v>Jessica</v>
      </c>
      <c r="E435">
        <f t="shared" ca="1" si="45"/>
        <v>0.38992263360658086</v>
      </c>
    </row>
    <row r="436" spans="1:9" x14ac:dyDescent="0.25">
      <c r="B436" t="str">
        <f ca="1">G411</f>
        <v/>
      </c>
      <c r="G436" s="2" t="s">
        <v>114</v>
      </c>
    </row>
    <row r="437" spans="1:9" x14ac:dyDescent="0.25">
      <c r="A437">
        <f t="shared" ref="A437:A450" ca="1" si="46">IF(A407=$G$387,"",RAND())</f>
        <v>0.3118625226158368</v>
      </c>
      <c r="F437" t="str">
        <f ca="1">H368</f>
        <v>Josh</v>
      </c>
      <c r="G437" s="29" t="str">
        <f ca="1">G432</f>
        <v>Elena</v>
      </c>
      <c r="H437" s="29" t="str">
        <f ca="1">G433</f>
        <v>Paul</v>
      </c>
      <c r="I437" s="29" t="str">
        <f ca="1">G434</f>
        <v/>
      </c>
    </row>
    <row r="438" spans="1:9" x14ac:dyDescent="0.25">
      <c r="A438">
        <f t="shared" ca="1" si="46"/>
        <v>0.10038067424875863</v>
      </c>
    </row>
    <row r="439" spans="1:9" x14ac:dyDescent="0.25">
      <c r="A439">
        <f t="shared" ca="1" si="46"/>
        <v>5.9225487260401888E-2</v>
      </c>
      <c r="C439" t="str">
        <f t="shared" ref="C439:C452" ca="1" si="47">A407</f>
        <v>Alex</v>
      </c>
      <c r="D439">
        <f ca="1">IF(COUNTIF($F$437:$I$437,C439)=1,"",RAND())</f>
        <v>0.66564481749381577</v>
      </c>
      <c r="E439" t="str">
        <f ca="1">INDEX(C439:C452,MATCH(SMALL(D439:D452,1),D439:D452,0))</f>
        <v>Cody</v>
      </c>
      <c r="F439">
        <f t="shared" ref="F439:F448" ca="1" si="48">IF($I$437="",RANDBETWEEN(1,2),RANDBETWEEN(1,3))</f>
        <v>1</v>
      </c>
      <c r="G439" t="str">
        <f t="shared" ref="G439:G448" ca="1" si="49">E439&amp;"-"</f>
        <v>Cody-</v>
      </c>
      <c r="H439" t="str">
        <f ca="1">IF($I$26="On",INDEX(Sheet4!$B$123:$R$123,MATCH(Game!E439,Sheet4!$B$119:$R$119,0)),IF(F439=1,$G$437,IF(F439=2,$H$437,$I$437)))</f>
        <v>Paul</v>
      </c>
    </row>
    <row r="440" spans="1:9" x14ac:dyDescent="0.25">
      <c r="A440">
        <f t="shared" ca="1" si="46"/>
        <v>2.6579325715317847E-2</v>
      </c>
      <c r="C440" t="str">
        <f t="shared" ca="1" si="47"/>
        <v>Cameron</v>
      </c>
      <c r="D440">
        <f t="shared" ref="D440:D452" ca="1" si="50">IF(COUNTIF($F$437:$I$437,C440)=1,"",RAND())</f>
        <v>0.97305805237761822</v>
      </c>
      <c r="E440" t="str">
        <f ca="1">INDEX(C439:C452,MATCH(SMALL(D439:D452,2),D439:D452,0))</f>
        <v>Jason</v>
      </c>
      <c r="F440">
        <f t="shared" ca="1" si="48"/>
        <v>2</v>
      </c>
      <c r="G440" t="str">
        <f t="shared" ca="1" si="49"/>
        <v>Jason-</v>
      </c>
      <c r="H440" t="str">
        <f ca="1">IF($I$26="On",INDEX(Sheet4!$B$123:$R$123,MATCH(Game!E440,Sheet4!$B$119:$R$119,0)),IF(F440=1,$G$437,IF(F440=2,$H$437,$I$437)))</f>
        <v>Elena</v>
      </c>
    </row>
    <row r="441" spans="1:9" x14ac:dyDescent="0.25">
      <c r="A441">
        <f t="shared" ca="1" si="46"/>
        <v>0.13730076293762106</v>
      </c>
      <c r="C441" t="str">
        <f t="shared" ca="1" si="47"/>
        <v>Christmas</v>
      </c>
      <c r="D441">
        <f t="shared" ca="1" si="50"/>
        <v>0.46361988446112945</v>
      </c>
      <c r="E441" t="str">
        <f ca="1">INDEX(C439:C452,MATCH(SMALL(D439:D452,3),D439:D452,0))</f>
        <v>Matt</v>
      </c>
      <c r="F441">
        <f t="shared" ca="1" si="48"/>
        <v>1</v>
      </c>
      <c r="G441" t="str">
        <f t="shared" ca="1" si="49"/>
        <v>Matt-</v>
      </c>
      <c r="H441" t="str">
        <f ca="1">IF($I$26="On",INDEX(Sheet4!$B$123:$R$123,MATCH(Game!E441,Sheet4!$B$119:$R$119,0)),IF(F441=1,$G$437,IF(F441=2,$H$437,$I$437)))</f>
        <v>Elena</v>
      </c>
    </row>
    <row r="442" spans="1:9" x14ac:dyDescent="0.25">
      <c r="A442">
        <f t="shared" ca="1" si="46"/>
        <v>0.2378486460367073</v>
      </c>
      <c r="C442" t="str">
        <f t="shared" ca="1" si="47"/>
        <v>Cody</v>
      </c>
      <c r="D442">
        <f t="shared" ca="1" si="50"/>
        <v>5.0235555865490333E-2</v>
      </c>
      <c r="E442" t="str">
        <f ca="1">INDEX(C439:C452,MATCH(SMALL(D439:D452,4),D439:D452,0))</f>
        <v>Mark</v>
      </c>
      <c r="F442">
        <f t="shared" ca="1" si="48"/>
        <v>1</v>
      </c>
      <c r="G442" t="str">
        <f t="shared" ca="1" si="49"/>
        <v>Mark-</v>
      </c>
      <c r="H442" t="str">
        <f ca="1">IF($I$26="On",INDEX(Sheet4!$B$123:$R$123,MATCH(Game!E442,Sheet4!$B$119:$R$119,0)),IF(F442=1,$G$437,IF(F442=2,$H$437,$I$437)))</f>
        <v>Paul</v>
      </c>
    </row>
    <row r="443" spans="1:9" x14ac:dyDescent="0.25">
      <c r="A443">
        <f t="shared" ca="1" si="46"/>
        <v>0.54950858314713535</v>
      </c>
      <c r="C443" t="str">
        <f t="shared" ca="1" si="47"/>
        <v>Elena</v>
      </c>
      <c r="D443" t="str">
        <f t="shared" ca="1" si="50"/>
        <v/>
      </c>
      <c r="E443" t="str">
        <f ca="1">INDEX(C439:C452,MATCH(SMALL(D439:D452,5),D439:D452,0))</f>
        <v>Jillian</v>
      </c>
      <c r="F443">
        <f t="shared" ca="1" si="48"/>
        <v>1</v>
      </c>
      <c r="G443" t="str">
        <f t="shared" ca="1" si="49"/>
        <v>Jillian-</v>
      </c>
      <c r="H443" t="str">
        <f ca="1">IF($I$26="On",INDEX(Sheet4!$B$123:$R$123,MATCH(Game!E443,Sheet4!$B$119:$R$119,0)),IF(F443=1,$G$437,IF(F443=2,$H$437,$I$437)))</f>
        <v>Elena</v>
      </c>
    </row>
    <row r="444" spans="1:9" x14ac:dyDescent="0.25">
      <c r="A444">
        <f t="shared" ca="1" si="46"/>
        <v>0.77461315712432555</v>
      </c>
      <c r="C444" t="str">
        <f t="shared" ca="1" si="47"/>
        <v>Jason</v>
      </c>
      <c r="D444">
        <f t="shared" ca="1" si="50"/>
        <v>0.10490587482418301</v>
      </c>
      <c r="E444" t="str">
        <f ca="1">INDEX(C439:C452,MATCH(SMALL(D439:D452,6),D439:D452,0))</f>
        <v>Christmas</v>
      </c>
      <c r="F444">
        <f t="shared" ca="1" si="48"/>
        <v>2</v>
      </c>
      <c r="G444" t="str">
        <f t="shared" ca="1" si="49"/>
        <v>Christmas-</v>
      </c>
      <c r="H444" t="str">
        <f ca="1">IF($I$26="On",INDEX(Sheet4!$B$123:$R$123,MATCH(Game!E444,Sheet4!$B$119:$R$119,0)),IF(F444=1,$G$437,IF(F444=2,$H$437,$I$437)))</f>
        <v>Paul</v>
      </c>
    </row>
    <row r="445" spans="1:9" x14ac:dyDescent="0.25">
      <c r="A445">
        <f t="shared" ca="1" si="46"/>
        <v>0.52161898064730572</v>
      </c>
      <c r="C445" t="str">
        <f t="shared" ca="1" si="47"/>
        <v>Jessica</v>
      </c>
      <c r="D445">
        <f t="shared" ca="1" si="50"/>
        <v>0.53965486318455691</v>
      </c>
      <c r="E445" t="str">
        <f ca="1">INDEX(C439:C452,MATCH(SMALL(D439:D452,7),D439:D452,0))</f>
        <v>Ramses</v>
      </c>
      <c r="F445">
        <f t="shared" ca="1" si="48"/>
        <v>1</v>
      </c>
      <c r="G445" t="str">
        <f t="shared" ca="1" si="49"/>
        <v>Ramses-</v>
      </c>
      <c r="H445" t="str">
        <f ca="1">IF($I$26="On",INDEX(Sheet4!$B$123:$R$123,MATCH(Game!E445,Sheet4!$B$119:$R$119,0)),IF(F445=1,$G$437,IF(F445=2,$H$437,$I$437)))</f>
        <v>Elena</v>
      </c>
    </row>
    <row r="446" spans="1:9" x14ac:dyDescent="0.25">
      <c r="A446">
        <f t="shared" ca="1" si="46"/>
        <v>0.59489879192554007</v>
      </c>
      <c r="C446" t="str">
        <f t="shared" ca="1" si="47"/>
        <v>Jillian</v>
      </c>
      <c r="D446">
        <f t="shared" ca="1" si="50"/>
        <v>0.36969227646921887</v>
      </c>
      <c r="E446" t="str">
        <f ca="1">INDEX(C439:C452,MATCH(SMALL(D439:D452,8),D439:D452,0))</f>
        <v>Jessica</v>
      </c>
      <c r="F446">
        <f t="shared" ca="1" si="48"/>
        <v>1</v>
      </c>
      <c r="G446" t="str">
        <f t="shared" ca="1" si="49"/>
        <v>Jessica-</v>
      </c>
      <c r="H446" t="str">
        <f ca="1">IF($I$26="On",INDEX(Sheet4!$B$123:$R$123,MATCH(Game!E446,Sheet4!$B$119:$R$119,0)),IF(F446=1,$G$437,IF(F446=2,$H$437,$I$437)))</f>
        <v>Paul</v>
      </c>
    </row>
    <row r="447" spans="1:9" x14ac:dyDescent="0.25">
      <c r="A447">
        <f t="shared" ca="1" si="46"/>
        <v>0.8988056628869644</v>
      </c>
      <c r="C447" t="str">
        <f t="shared" ca="1" si="47"/>
        <v>Josh</v>
      </c>
      <c r="D447" t="str">
        <f t="shared" ca="1" si="50"/>
        <v/>
      </c>
      <c r="E447" t="str">
        <f ca="1">INDEX(C439:C452,MATCH(SMALL(D439:D452,9),D439:D452,0))</f>
        <v>Alex</v>
      </c>
      <c r="F447">
        <f t="shared" ca="1" si="48"/>
        <v>1</v>
      </c>
      <c r="G447" t="str">
        <f t="shared" ca="1" si="49"/>
        <v>Alex-</v>
      </c>
      <c r="H447" t="str">
        <f ca="1">IF($I$26="On",INDEX(Sheet4!$B$123:$R$123,MATCH(Game!E447,Sheet4!$B$119:$R$119,0)),IF(F447=1,$G$437,IF(F447=2,$H$437,$I$437)))</f>
        <v>Paul</v>
      </c>
    </row>
    <row r="448" spans="1:9" x14ac:dyDescent="0.25">
      <c r="A448">
        <f t="shared" ca="1" si="46"/>
        <v>0.87357139308528398</v>
      </c>
      <c r="C448" t="str">
        <f t="shared" ca="1" si="47"/>
        <v>Mark</v>
      </c>
      <c r="D448">
        <f t="shared" ca="1" si="50"/>
        <v>0.3166745632560054</v>
      </c>
      <c r="E448" t="str">
        <f ca="1">INDEX(C439:C452,MATCH(SMALL(D439:D452,10),D439:D452,0))</f>
        <v>Raven</v>
      </c>
      <c r="F448">
        <f t="shared" ca="1" si="48"/>
        <v>2</v>
      </c>
      <c r="G448" t="str">
        <f t="shared" ca="1" si="49"/>
        <v>Raven-</v>
      </c>
      <c r="H448" t="str">
        <f ca="1">IF($I$26="On",INDEX(Sheet4!$B$123:$R$123,MATCH(Game!E448,Sheet4!$B$119:$R$119,0)),IF(F448=1,$G$437,IF(F448=2,$H$437,$I$437)))</f>
        <v>Paul</v>
      </c>
    </row>
    <row r="449" spans="1:8" x14ac:dyDescent="0.25">
      <c r="A449">
        <f t="shared" ca="1" si="46"/>
        <v>0.9566331943116525</v>
      </c>
      <c r="C449" t="str">
        <f t="shared" ca="1" si="47"/>
        <v>Matt</v>
      </c>
      <c r="D449">
        <f t="shared" ca="1" si="50"/>
        <v>0.23772106283795813</v>
      </c>
      <c r="E449" t="str">
        <f ca="1">IF(I437="",INDEX(C439:C452,MATCH(SMALL(D439:D452,11),D439:D452,0)),"")</f>
        <v>Cameron</v>
      </c>
      <c r="F449">
        <f ca="1">IF(E449="","",RANDBETWEEN(1,2))</f>
        <v>2</v>
      </c>
      <c r="G449" t="str">
        <f ca="1">IF(E449="","",E449&amp;"-")</f>
        <v>Cameron-</v>
      </c>
      <c r="H449" t="str">
        <f ca="1">IF(G449="","",IF($I$26="On",INDEX(Sheet4!$B$123:$R$123,MATCH(Game!E449,Sheet4!$B$119:$R$119,0)),IF(F449=1,$G$437,IF(F449=2,$H$437,$I$437))))</f>
        <v>Paul</v>
      </c>
    </row>
    <row r="450" spans="1:8" x14ac:dyDescent="0.25">
      <c r="A450" t="str">
        <f t="shared" ca="1" si="46"/>
        <v/>
      </c>
      <c r="C450" t="str">
        <f t="shared" ca="1" si="47"/>
        <v>Paul</v>
      </c>
      <c r="D450" t="str">
        <f t="shared" ca="1" si="50"/>
        <v/>
      </c>
    </row>
    <row r="451" spans="1:8" x14ac:dyDescent="0.25">
      <c r="A451" t="str">
        <f ca="1">H423</f>
        <v>Christmas</v>
      </c>
      <c r="B451" t="str">
        <f ca="1">F407</f>
        <v/>
      </c>
      <c r="C451" t="str">
        <f t="shared" ca="1" si="47"/>
        <v>Ramses</v>
      </c>
      <c r="D451">
        <f t="shared" ca="1" si="50"/>
        <v>0.46616320775179332</v>
      </c>
      <c r="E451" t="str">
        <f ca="1">G437</f>
        <v>Elena</v>
      </c>
      <c r="F451">
        <f ca="1">IF($I$26="On",COUNTIF(H439:H449,E451)+INDEX(D377:D389,MATCH(E451,C377:C389,0))/220,COUNTIF(H439:H449,E451)+RAND()/2.2)</f>
        <v>4.0054512742293689</v>
      </c>
      <c r="G451" t="str">
        <f ca="1">IF(F454=F455,"We have a tie!","")</f>
        <v/>
      </c>
    </row>
    <row r="452" spans="1:8" x14ac:dyDescent="0.25">
      <c r="A452" t="str">
        <f ca="1">F400</f>
        <v>Christmas</v>
      </c>
      <c r="B452" t="str">
        <f ca="1">IF(COUNTIF($A$451:$B$451,A452)=1,"",1)</f>
        <v/>
      </c>
      <c r="C452" t="str">
        <f t="shared" ca="1" si="47"/>
        <v>Raven</v>
      </c>
      <c r="D452">
        <f t="shared" ca="1" si="50"/>
        <v>0.75266544011781444</v>
      </c>
      <c r="E452" t="str">
        <f ca="1">H437</f>
        <v>Paul</v>
      </c>
      <c r="F452">
        <f ca="1">IF($I$26="On",COUNTIF(H439:H449,E452)+INDEX(D377:D389,MATCH(E452,C377:C389,0))/220,COUNTIF(H439:H449,E452)+RAND()/2.2)</f>
        <v>7.0550027420316468</v>
      </c>
      <c r="G452" t="str">
        <f ca="1">IF(G451="","",F437&amp;", the HOH, will break the tie")</f>
        <v/>
      </c>
    </row>
    <row r="453" spans="1:8" x14ac:dyDescent="0.25">
      <c r="A453" t="str">
        <f ca="1">F401</f>
        <v>Mark</v>
      </c>
      <c r="B453">
        <f ca="1">IF(COUNTIF($A$451:$B$451,A453)=1,"",2)</f>
        <v>2</v>
      </c>
      <c r="E453" t="str">
        <f ca="1">I437</f>
        <v/>
      </c>
      <c r="F453" t="str">
        <f ca="1">IF(E453="","",IF($I$26="On",COUNTIF(H439:H449,E453)+INDEX(D377:D389,MATCH(E453,C377:C389,0))/220,COUNTIF(H439:H449,E453)+RAND()/2.2))</f>
        <v/>
      </c>
      <c r="G453" t="str">
        <f ca="1">IF(G452="","",F437&amp;"-")</f>
        <v/>
      </c>
      <c r="H453" t="str">
        <f ca="1">IF(G453="","",INDEX(E451:E453,MATCH(LARGE(F451:F453,2),F451:F453,0)))</f>
        <v/>
      </c>
    </row>
    <row r="454" spans="1:8" x14ac:dyDescent="0.25">
      <c r="A454" t="str">
        <f ca="1">F402</f>
        <v>Raven</v>
      </c>
      <c r="B454">
        <f ca="1">IF(COUNTIF($A$451:$B$451,A454)=1,"",3)</f>
        <v>3</v>
      </c>
      <c r="F454">
        <f ca="1">ROUND(LARGE(F451:F453,1),0)</f>
        <v>7</v>
      </c>
    </row>
    <row r="455" spans="1:8" x14ac:dyDescent="0.25">
      <c r="F455">
        <f ca="1">ROUND(LARGE(F451:F453,2),0)</f>
        <v>4</v>
      </c>
      <c r="G455" t="str">
        <f ca="1">IF(F458="","","With "&amp;ROUND(SMALL(F456:F458,1),0)&amp;IF(ROUND(SMALL(F456:F458,1),0)=1," vote"," votes"))</f>
        <v/>
      </c>
    </row>
    <row r="456" spans="1:8" x14ac:dyDescent="0.25">
      <c r="E456" t="str">
        <f ca="1">E451</f>
        <v>Elena</v>
      </c>
      <c r="F456">
        <f ca="1">COUNTIF(H439:H453,E456)+RAND()/2.2</f>
        <v>4.3035392592531494</v>
      </c>
      <c r="G456" t="str">
        <f ca="1">IF(G455="","",INDEX(E456:E458,MATCH(SMALL(F456:F458,1),F456:F458,0)))</f>
        <v/>
      </c>
    </row>
    <row r="457" spans="1:8" x14ac:dyDescent="0.25">
      <c r="E457" t="str">
        <f ca="1">E452</f>
        <v>Paul</v>
      </c>
      <c r="F457">
        <f ca="1">COUNTIF(H439:H453,E457)+RAND()/2.2</f>
        <v>7.2987499647042835</v>
      </c>
      <c r="G457" t="str">
        <f ca="1">IF(G456="","","You are safe")</f>
        <v/>
      </c>
    </row>
    <row r="458" spans="1:8" x14ac:dyDescent="0.25">
      <c r="E458" t="str">
        <f ca="1">E453</f>
        <v/>
      </c>
      <c r="F458" t="str">
        <f ca="1">IF(E458="","",COUNTIF(H439:H453,E458)+RAND()/2.2)</f>
        <v/>
      </c>
    </row>
    <row r="459" spans="1:8" x14ac:dyDescent="0.25">
      <c r="F459">
        <f ca="1">ROUND(LARGE(F456:F458,1),0)</f>
        <v>7</v>
      </c>
      <c r="G459" t="str">
        <f ca="1">"By a vote of "&amp;ROUND(LARGE(F456:F458,1),0)&amp;"-"&amp;ROUND(LARGE(F456:F458,2),0)</f>
        <v>By a vote of 7-4</v>
      </c>
    </row>
    <row r="460" spans="1:8" x14ac:dyDescent="0.25">
      <c r="F460">
        <f ca="1">ROUND(LARGE(F456:F458,2),0)</f>
        <v>4</v>
      </c>
      <c r="G460" t="str">
        <f ca="1">INDEX(E456:E458,MATCH(LARGE(F456:F458,1),F456:F458,0))</f>
        <v>Paul</v>
      </c>
    </row>
    <row r="461" spans="1:8" x14ac:dyDescent="0.25">
      <c r="F461" t="str">
        <f ca="1">IF(F458="","",ROUND(LARGE(F456:F458,3),0))</f>
        <v/>
      </c>
      <c r="G461" t="s">
        <v>62</v>
      </c>
    </row>
    <row r="463" spans="1:8" x14ac:dyDescent="0.25">
      <c r="G463" t="str">
        <f ca="1">IF(E453="","",ROUND(LARGE(F456:F458,1),0)&amp;"-"&amp;ROUND(LARGE(F456:F458,2),0)&amp;"-"&amp;ROUND(LARGE(F456:F458,3),0))</f>
        <v/>
      </c>
    </row>
    <row r="465" spans="1:12" x14ac:dyDescent="0.25">
      <c r="G465" s="2" t="s">
        <v>144</v>
      </c>
    </row>
    <row r="466" spans="1:12" x14ac:dyDescent="0.25">
      <c r="A466" t="str">
        <f t="shared" ref="A466:A479" ca="1" si="51">A407</f>
        <v>Alex</v>
      </c>
      <c r="B466" t="str">
        <f ca="1">IF(A466=G460,A467,A466)</f>
        <v>Alex</v>
      </c>
      <c r="C466" t="str">
        <f ca="1">E343</f>
        <v>Raven</v>
      </c>
      <c r="D466" t="str">
        <f ca="1">H368</f>
        <v>Josh</v>
      </c>
      <c r="G466" s="16" t="str">
        <f ca="1">B466</f>
        <v>Alex</v>
      </c>
      <c r="H466" s="16" t="str">
        <f ca="1">B467</f>
        <v>Cameron</v>
      </c>
      <c r="I466" s="16" t="str">
        <f ca="1">B468</f>
        <v>Christmas</v>
      </c>
      <c r="J466" s="16" t="str">
        <f ca="1">B469</f>
        <v>Cody</v>
      </c>
      <c r="K466" s="16" t="str">
        <f ca="1">B470</f>
        <v>Elena</v>
      </c>
      <c r="L466" s="28"/>
    </row>
    <row r="467" spans="1:12" x14ac:dyDescent="0.25">
      <c r="A467" t="str">
        <f t="shared" ca="1" si="51"/>
        <v>Cameron</v>
      </c>
      <c r="B467" t="str">
        <f t="shared" ref="B467:B478" ca="1" si="52">IF(B466=A467,A468,IF(A467=$G$460,A468,A467))</f>
        <v>Cameron</v>
      </c>
      <c r="C467" t="str">
        <f ca="1">E344</f>
        <v>Christmas</v>
      </c>
      <c r="D467" t="str">
        <f ca="1">H423</f>
        <v>Christmas</v>
      </c>
      <c r="G467" s="24" t="str">
        <f ca="1">IF(COUNTIF($C$466:$D$466,G466)=0,"","HOH - "&amp;COUNTIF($C$466:$D$466,G466))</f>
        <v/>
      </c>
      <c r="H467" s="24" t="str">
        <f ca="1">IF(COUNTIF($C$466:$D$466,H466)=0,"","HOH - "&amp;COUNTIF($C$466:$D$466,H466))</f>
        <v/>
      </c>
      <c r="I467" s="24" t="str">
        <f ca="1">IF(COUNTIF($C$466:$D$466,I466)=0,"","HOH - "&amp;COUNTIF($C$466:$D$466,I466))</f>
        <v/>
      </c>
      <c r="J467" s="24" t="str">
        <f ca="1">IF(COUNTIF($C$466:$D$466,J466)=0,"","HOH - "&amp;COUNTIF($C$466:$D$466,J466))</f>
        <v/>
      </c>
      <c r="K467" s="24" t="str">
        <f ca="1">IF(COUNTIF($C$466:$D$466,K466)=0,"","HOH - "&amp;COUNTIF($C$466:$D$466,K466))</f>
        <v/>
      </c>
      <c r="L467" s="28"/>
    </row>
    <row r="468" spans="1:12" x14ac:dyDescent="0.25">
      <c r="A468" t="str">
        <f t="shared" ca="1" si="51"/>
        <v>Christmas</v>
      </c>
      <c r="B468" t="str">
        <f t="shared" ca="1" si="52"/>
        <v>Christmas</v>
      </c>
      <c r="G468" s="24" t="str">
        <f ca="1">IF(COUNTIF($C$467:$D$467,G466)=0,"","POV - "&amp;COUNTIF($C$467:$D$467,G466))</f>
        <v/>
      </c>
      <c r="H468" s="24" t="str">
        <f ca="1">IF(COUNTIF($C$467:$D$467,H466)=0,"","POV - "&amp;COUNTIF($C$467:$D$467,H466))</f>
        <v/>
      </c>
      <c r="I468" s="24" t="str">
        <f ca="1">IF(COUNTIF($C$467:$D$467,I466)=0,"","POV - "&amp;COUNTIF($C$467:$D$467,I466))</f>
        <v>POV - 2</v>
      </c>
      <c r="J468" s="24" t="str">
        <f ca="1">IF(COUNTIF($C$467:$D$467,J466)=0,"","POV - "&amp;COUNTIF($C$467:$D$467,J466))</f>
        <v/>
      </c>
      <c r="K468" s="24" t="str">
        <f ca="1">IF(COUNTIF($C$467:$D$467,K466)=0,"","POV - "&amp;COUNTIF($C$467:$D$467,K466))</f>
        <v/>
      </c>
      <c r="L468" s="28"/>
    </row>
    <row r="469" spans="1:12" x14ac:dyDescent="0.25">
      <c r="A469" t="str">
        <f t="shared" ca="1" si="51"/>
        <v>Cody</v>
      </c>
      <c r="B469" t="str">
        <f t="shared" ca="1" si="52"/>
        <v>Cody</v>
      </c>
      <c r="G469" s="16" t="str">
        <f ca="1">B471</f>
        <v>Jason</v>
      </c>
      <c r="H469" s="16" t="str">
        <f ca="1">B472</f>
        <v>Jessica</v>
      </c>
      <c r="I469" s="16" t="str">
        <f ca="1">B473</f>
        <v>Jillian</v>
      </c>
      <c r="J469" s="16" t="str">
        <f ca="1">B474</f>
        <v>Josh</v>
      </c>
      <c r="K469" s="16" t="str">
        <f ca="1">B475</f>
        <v>Mark</v>
      </c>
      <c r="L469" s="16" t="str">
        <f ca="1">B476</f>
        <v>Matt</v>
      </c>
    </row>
    <row r="470" spans="1:12" x14ac:dyDescent="0.25">
      <c r="A470" t="str">
        <f t="shared" ca="1" si="51"/>
        <v>Elena</v>
      </c>
      <c r="B470" t="str">
        <f t="shared" ca="1" si="52"/>
        <v>Elena</v>
      </c>
      <c r="G470" s="24" t="str">
        <f t="shared" ref="G470:L470" ca="1" si="53">IF(COUNTIF($C$466:$D$466,G469)=0,"","HOH - "&amp;COUNTIF($C$466:$D$466,G469))</f>
        <v/>
      </c>
      <c r="H470" s="24" t="str">
        <f t="shared" ca="1" si="53"/>
        <v/>
      </c>
      <c r="I470" s="24" t="str">
        <f t="shared" ca="1" si="53"/>
        <v/>
      </c>
      <c r="J470" s="24" t="str">
        <f t="shared" ca="1" si="53"/>
        <v>HOH - 1</v>
      </c>
      <c r="K470" s="24" t="str">
        <f t="shared" ca="1" si="53"/>
        <v/>
      </c>
      <c r="L470" s="24" t="str">
        <f t="shared" ca="1" si="53"/>
        <v/>
      </c>
    </row>
    <row r="471" spans="1:12" x14ac:dyDescent="0.25">
      <c r="A471" t="str">
        <f t="shared" ca="1" si="51"/>
        <v>Jason</v>
      </c>
      <c r="B471" t="str">
        <f t="shared" ca="1" si="52"/>
        <v>Jason</v>
      </c>
      <c r="G471" s="26" t="str">
        <f t="shared" ref="G471:L471" ca="1" si="54">IF(COUNTIF($C$467:$D$467,G469)=0,"","POV - "&amp;COUNTIF($C$467:$D$467,G469))</f>
        <v/>
      </c>
      <c r="H471" s="26" t="str">
        <f t="shared" ca="1" si="54"/>
        <v/>
      </c>
      <c r="I471" s="26" t="str">
        <f t="shared" ca="1" si="54"/>
        <v/>
      </c>
      <c r="J471" s="26" t="str">
        <f t="shared" ca="1" si="54"/>
        <v/>
      </c>
      <c r="K471" s="26" t="str">
        <f t="shared" ca="1" si="54"/>
        <v/>
      </c>
      <c r="L471" s="26" t="str">
        <f t="shared" ca="1" si="54"/>
        <v/>
      </c>
    </row>
    <row r="472" spans="1:12" x14ac:dyDescent="0.25">
      <c r="A472" t="str">
        <f t="shared" ca="1" si="51"/>
        <v>Jessica</v>
      </c>
      <c r="B472" t="str">
        <f t="shared" ca="1" si="52"/>
        <v>Jessica</v>
      </c>
      <c r="G472" s="16" t="str">
        <f ca="1">B477</f>
        <v>Ramses</v>
      </c>
      <c r="H472" s="16" t="str">
        <f ca="1">B478</f>
        <v>Raven</v>
      </c>
      <c r="I472" s="19" t="str">
        <f ca="1">G460</f>
        <v>Paul</v>
      </c>
      <c r="J472" s="19" t="str">
        <f ca="1">J349</f>
        <v>Megan</v>
      </c>
      <c r="K472" s="30" t="str">
        <f ca="1">K349</f>
        <v>Kevin</v>
      </c>
      <c r="L472" s="19" t="str">
        <f ca="1">L349</f>
        <v>Dominique</v>
      </c>
    </row>
    <row r="473" spans="1:12" x14ac:dyDescent="0.25">
      <c r="A473" t="str">
        <f t="shared" ca="1" si="51"/>
        <v>Jillian</v>
      </c>
      <c r="B473" t="str">
        <f t="shared" ca="1" si="52"/>
        <v>Jillian</v>
      </c>
      <c r="G473" s="24" t="str">
        <f ca="1">IF(COUNTIF($C$466:$D$466,G472)=0,"","HOH - "&amp;COUNTIF($C$466:$D$466,G472))</f>
        <v/>
      </c>
      <c r="H473" s="24" t="str">
        <f ca="1">IF(COUNTIF($C$466:$D$466,H472)=0,"","HOH - "&amp;COUNTIF($C$466:$D$466,H472))</f>
        <v>HOH - 1</v>
      </c>
      <c r="I473" s="31" t="str">
        <f ca="1">IF(COUNTIF($C$466:$D$466,I472)=0,"","HOH - "&amp;COUNTIF($C$466:$D$466,I472))</f>
        <v/>
      </c>
      <c r="J473" s="31"/>
      <c r="K473" s="32"/>
      <c r="L473" s="31"/>
    </row>
    <row r="474" spans="1:12" x14ac:dyDescent="0.25">
      <c r="A474" t="str">
        <f t="shared" ca="1" si="51"/>
        <v>Josh</v>
      </c>
      <c r="B474" t="str">
        <f t="shared" ca="1" si="52"/>
        <v>Josh</v>
      </c>
      <c r="G474" s="26" t="str">
        <f ca="1">IF(COUNTIF($C$467:$D$467,G472)=0,"","POV - "&amp;COUNTIF($C$467:$D$467,G472))</f>
        <v/>
      </c>
      <c r="H474" s="26" t="str">
        <f ca="1">IF(COUNTIF($C$467:$D$467,H472)=0,"","POV - "&amp;COUNTIF($C$467:$D$467,H472))</f>
        <v/>
      </c>
      <c r="I474" s="33" t="str">
        <f ca="1">IF(COUNTIF($C$467:$D$467,I472)=0,"","POV - "&amp;COUNTIF($C$467:$D$467,I472))</f>
        <v/>
      </c>
      <c r="J474" s="33"/>
      <c r="K474" s="34"/>
      <c r="L474" s="33"/>
    </row>
    <row r="475" spans="1:12" x14ac:dyDescent="0.25">
      <c r="A475" t="str">
        <f t="shared" ca="1" si="51"/>
        <v>Mark</v>
      </c>
      <c r="B475" t="str">
        <f t="shared" ca="1" si="52"/>
        <v>Mark</v>
      </c>
    </row>
    <row r="476" spans="1:12" x14ac:dyDescent="0.25">
      <c r="A476" t="str">
        <f t="shared" ca="1" si="51"/>
        <v>Matt</v>
      </c>
      <c r="B476" t="str">
        <f t="shared" ca="1" si="52"/>
        <v>Matt</v>
      </c>
      <c r="G476" s="2" t="s">
        <v>65</v>
      </c>
      <c r="H476" s="1"/>
    </row>
    <row r="477" spans="1:12" x14ac:dyDescent="0.25">
      <c r="A477" t="str">
        <f t="shared" ca="1" si="51"/>
        <v>Paul</v>
      </c>
      <c r="B477" t="str">
        <f t="shared" ca="1" si="52"/>
        <v>Ramses</v>
      </c>
      <c r="G477" s="1" t="s">
        <v>130</v>
      </c>
      <c r="H477" s="1" t="str">
        <f ca="1">D466</f>
        <v>Josh</v>
      </c>
    </row>
    <row r="478" spans="1:12" x14ac:dyDescent="0.25">
      <c r="A478" t="str">
        <f t="shared" ca="1" si="51"/>
        <v>Ramses</v>
      </c>
      <c r="B478" t="str">
        <f t="shared" ca="1" si="52"/>
        <v>Raven</v>
      </c>
      <c r="G478" s="1"/>
    </row>
    <row r="479" spans="1:12" x14ac:dyDescent="0.25">
      <c r="A479" t="str">
        <f t="shared" ca="1" si="51"/>
        <v>Raven</v>
      </c>
      <c r="C479" s="1" t="str">
        <f ca="1">G466</f>
        <v>Alex</v>
      </c>
      <c r="D479" s="1" t="str">
        <f ca="1">IF(C479=H477,C480,C479)</f>
        <v>Alex</v>
      </c>
      <c r="E479" s="1">
        <f t="shared" ref="E479:E490" ca="1" si="55">RAND()</f>
        <v>2.7474065925643942E-2</v>
      </c>
      <c r="G479" s="1" t="s">
        <v>132</v>
      </c>
      <c r="H479" s="1" t="str">
        <f ca="1">INDEX(D479:D490,RANK(E479,E479:E490))</f>
        <v>Raven</v>
      </c>
    </row>
    <row r="480" spans="1:12" x14ac:dyDescent="0.25">
      <c r="C480" s="1" t="str">
        <f ca="1">H466</f>
        <v>Cameron</v>
      </c>
      <c r="D480" s="1" t="str">
        <f t="shared" ref="D480:D490" ca="1" si="56">IF(D479=C480,C481,IF(C480=$H$477,C481,C480))</f>
        <v>Cameron</v>
      </c>
      <c r="E480" s="1">
        <f t="shared" ca="1" si="55"/>
        <v>0.45556625365504833</v>
      </c>
      <c r="G480" s="1" t="s">
        <v>133</v>
      </c>
      <c r="H480" s="1" t="str">
        <f ca="1">INDEX(D479:D490,RANK(E480,E479:E490))</f>
        <v>Jessica</v>
      </c>
    </row>
    <row r="481" spans="1:10" x14ac:dyDescent="0.25">
      <c r="C481" s="1" t="str">
        <f ca="1">I466</f>
        <v>Christmas</v>
      </c>
      <c r="D481" s="1" t="str">
        <f t="shared" ca="1" si="56"/>
        <v>Christmas</v>
      </c>
      <c r="E481" s="1">
        <f t="shared" ca="1" si="55"/>
        <v>0.89009611568237446</v>
      </c>
      <c r="G481" s="1" t="s">
        <v>134</v>
      </c>
      <c r="H481" s="1" t="str">
        <f ca="1">INDEX(D479:D490,RANK(E481,E479:E490))</f>
        <v>Cameron</v>
      </c>
    </row>
    <row r="482" spans="1:10" x14ac:dyDescent="0.25">
      <c r="C482" s="1" t="str">
        <f ca="1">J466</f>
        <v>Cody</v>
      </c>
      <c r="D482" s="1" t="str">
        <f t="shared" ca="1" si="56"/>
        <v>Cody</v>
      </c>
      <c r="E482" s="1">
        <f t="shared" ca="1" si="55"/>
        <v>0.39590216557165447</v>
      </c>
      <c r="G482" s="1" t="s">
        <v>135</v>
      </c>
      <c r="H482" s="1" t="str">
        <f ca="1">INDEX(D479:D490,RANK(E482,E479:E490))</f>
        <v>Jillian</v>
      </c>
    </row>
    <row r="483" spans="1:10" x14ac:dyDescent="0.25">
      <c r="C483" s="1" t="str">
        <f ca="1">K466</f>
        <v>Elena</v>
      </c>
      <c r="D483" s="1" t="str">
        <f t="shared" ca="1" si="56"/>
        <v>Elena</v>
      </c>
      <c r="E483" s="1">
        <f t="shared" ca="1" si="55"/>
        <v>0.34561396424558577</v>
      </c>
      <c r="G483" s="1" t="s">
        <v>46</v>
      </c>
      <c r="H483" s="1" t="str">
        <f ca="1">INDEX(D479:D490,RANK(E483,E479:E490))</f>
        <v>Mark</v>
      </c>
    </row>
    <row r="484" spans="1:10" x14ac:dyDescent="0.25">
      <c r="C484" s="1" t="str">
        <f ca="1">G469</f>
        <v>Jason</v>
      </c>
      <c r="D484" s="1" t="str">
        <f t="shared" ca="1" si="56"/>
        <v>Jason</v>
      </c>
      <c r="E484" s="1">
        <f t="shared" ca="1" si="55"/>
        <v>0.63599035593854381</v>
      </c>
      <c r="G484" s="1" t="s">
        <v>47</v>
      </c>
      <c r="H484" s="1" t="str">
        <f ca="1">INDEX(D479:D490,RANK(E484,E479:E490))</f>
        <v>Jason</v>
      </c>
    </row>
    <row r="485" spans="1:10" x14ac:dyDescent="0.25">
      <c r="C485" s="1" t="str">
        <f ca="1">H469</f>
        <v>Jessica</v>
      </c>
      <c r="D485" s="1" t="str">
        <f t="shared" ca="1" si="56"/>
        <v>Jessica</v>
      </c>
      <c r="E485" s="1">
        <f t="shared" ca="1" si="55"/>
        <v>0.68114028335675492</v>
      </c>
      <c r="G485" s="1" t="s">
        <v>48</v>
      </c>
      <c r="H485" s="1" t="str">
        <f ca="1">INDEX(D479:D490,RANK(E485,E479:E490))</f>
        <v>Cody</v>
      </c>
    </row>
    <row r="486" spans="1:10" x14ac:dyDescent="0.25">
      <c r="C486" s="1" t="str">
        <f ca="1">I469</f>
        <v>Jillian</v>
      </c>
      <c r="D486" s="1" t="str">
        <f t="shared" ca="1" si="56"/>
        <v>Jillian</v>
      </c>
      <c r="E486" s="1">
        <f t="shared" ca="1" si="55"/>
        <v>0.64199331820500671</v>
      </c>
      <c r="G486" s="1" t="s">
        <v>49</v>
      </c>
      <c r="H486" s="1" t="str">
        <f ca="1">INDEX(D479:D490,RANK(E486,E479:E490))</f>
        <v>Elena</v>
      </c>
    </row>
    <row r="487" spans="1:10" x14ac:dyDescent="0.25">
      <c r="C487" s="1" t="str">
        <f ca="1">J469</f>
        <v>Josh</v>
      </c>
      <c r="D487" s="1" t="str">
        <f t="shared" ca="1" si="56"/>
        <v>Mark</v>
      </c>
      <c r="E487" s="1">
        <f t="shared" ca="1" si="55"/>
        <v>0.71051580426824645</v>
      </c>
      <c r="F487" t="str">
        <f ca="1">F383</f>
        <v>Elena</v>
      </c>
      <c r="G487" s="1" t="s">
        <v>50</v>
      </c>
      <c r="H487" s="1" t="str">
        <f ca="1">INDEX(D479:D490,RANK(E487,E479:E490))</f>
        <v>Christmas</v>
      </c>
    </row>
    <row r="488" spans="1:10" x14ac:dyDescent="0.25">
      <c r="C488" s="1" t="str">
        <f ca="1">K469</f>
        <v>Mark</v>
      </c>
      <c r="D488" s="1" t="str">
        <f t="shared" ca="1" si="56"/>
        <v>Matt</v>
      </c>
      <c r="E488" s="1">
        <f t="shared" ca="1" si="55"/>
        <v>0.8944615104730087</v>
      </c>
      <c r="F488">
        <f ca="1">F384</f>
        <v>2</v>
      </c>
      <c r="G488" s="1" t="s">
        <v>52</v>
      </c>
      <c r="H488" s="1" t="str">
        <f ca="1">INDEX(D479:D490,RANK(E488,E479:E490))</f>
        <v>Alex</v>
      </c>
    </row>
    <row r="489" spans="1:10" x14ac:dyDescent="0.25">
      <c r="C489" s="1" t="str">
        <f ca="1">L469</f>
        <v>Matt</v>
      </c>
      <c r="D489" s="1" t="str">
        <f t="shared" ca="1" si="56"/>
        <v>Ramses</v>
      </c>
      <c r="E489" s="1">
        <f t="shared" ca="1" si="55"/>
        <v>0.24213382684624896</v>
      </c>
      <c r="F489" t="str">
        <f ca="1">G460</f>
        <v>Paul</v>
      </c>
      <c r="G489" s="1" t="s">
        <v>53</v>
      </c>
      <c r="H489" s="1" t="str">
        <f ca="1">INDEX(D479:D490,RANK(E489,E479:E490))</f>
        <v>Matt</v>
      </c>
    </row>
    <row r="490" spans="1:10" x14ac:dyDescent="0.25">
      <c r="C490" s="1" t="str">
        <f ca="1">G472</f>
        <v>Ramses</v>
      </c>
      <c r="D490" s="1" t="str">
        <f t="shared" ca="1" si="56"/>
        <v>Raven</v>
      </c>
      <c r="E490" s="1">
        <f t="shared" ca="1" si="55"/>
        <v>0.14215441969944209</v>
      </c>
      <c r="F490" t="str">
        <f ca="1">H490</f>
        <v>Ramses</v>
      </c>
      <c r="G490" s="1" t="s">
        <v>54</v>
      </c>
      <c r="H490" s="1" t="str">
        <f ca="1">INDEX(D479:D490,RANK(E490,E479:E490))</f>
        <v>Ramses</v>
      </c>
    </row>
    <row r="491" spans="1:10" x14ac:dyDescent="0.25">
      <c r="C491" s="1" t="str">
        <f ca="1">H472</f>
        <v>Raven</v>
      </c>
      <c r="D491" s="1"/>
      <c r="E491" s="1"/>
      <c r="G491" s="1" t="str">
        <f ca="1">"Congratulations, "&amp;H490</f>
        <v>Congratulations, Ramses</v>
      </c>
      <c r="H491" s="1"/>
    </row>
    <row r="492" spans="1:10" x14ac:dyDescent="0.25">
      <c r="B492" s="4">
        <f>$D$374</f>
        <v>50</v>
      </c>
      <c r="C492">
        <f ca="1">IF(F488=1,4,IF(COUNTIF(F489:F491,F487)=1,4,3))</f>
        <v>3</v>
      </c>
    </row>
    <row r="493" spans="1:10" x14ac:dyDescent="0.25">
      <c r="C493" t="str">
        <f ca="1">E303</f>
        <v>Jessica</v>
      </c>
      <c r="G493" s="2" t="s">
        <v>85</v>
      </c>
      <c r="H493" s="1"/>
      <c r="I493" s="1"/>
      <c r="J493" s="1"/>
    </row>
    <row r="494" spans="1:10" x14ac:dyDescent="0.25">
      <c r="C494" t="str">
        <f ca="1">IF(E496=3,F487,"")</f>
        <v>Elena</v>
      </c>
      <c r="G494" s="1" t="str">
        <f ca="1">H490&amp;" must select "&amp;E496&amp;" have nots for the week"</f>
        <v>Ramses must select 3 have nots for the week</v>
      </c>
      <c r="H494" s="1"/>
      <c r="I494" s="1"/>
      <c r="J494" s="1"/>
    </row>
    <row r="495" spans="1:10" x14ac:dyDescent="0.25">
      <c r="A495">
        <f ca="1">SMALL(Sheet4!$B$141:$R$141,1)</f>
        <v>3.2767850456034151</v>
      </c>
      <c r="B495" t="str">
        <f ca="1">IF($I$26="On",INDEX(Sheet4!B137:R137,MATCH(Game!$H$490,Sheet4!$B$125:$R$125,0)),Game!H477)</f>
        <v>Jason</v>
      </c>
      <c r="C495" t="str">
        <f t="shared" ref="C495:C506" ca="1" si="57">IF(B495=$D$375,"",IF($I$26="On",A495,RAND()))</f>
        <v/>
      </c>
      <c r="D495">
        <f ca="1">IF(COUNTIF(C493:C494,B495)&gt;=1,"",RAND())</f>
        <v>0.55957953742803923</v>
      </c>
      <c r="E495" s="1"/>
      <c r="F495" t="str">
        <f ca="1">IF(E496=3,F383,"")</f>
        <v>Elena</v>
      </c>
      <c r="G495" s="1" t="str">
        <f ca="1">IF(F495="","",F495&amp;" is a have not for selecting the wrong box last week")</f>
        <v>Elena is a have not for selecting the wrong box last week</v>
      </c>
      <c r="H495" s="1"/>
      <c r="I495" s="1"/>
      <c r="J495" s="1"/>
    </row>
    <row r="496" spans="1:10" x14ac:dyDescent="0.25">
      <c r="A496">
        <f ca="1">SMALL(Sheet4!$B$141:$R$141,2)</f>
        <v>7.0998209115564732</v>
      </c>
      <c r="B496" t="str">
        <f ca="1">IF($I$26="On",INDEX(Sheet4!B136:R136,MATCH(Game!$H$490,Sheet4!$B$125:$R$125,0)),Game!H479)</f>
        <v>Cameron</v>
      </c>
      <c r="C496">
        <f t="shared" ca="1" si="57"/>
        <v>7.0998209115564732</v>
      </c>
      <c r="D496">
        <f ca="1">IF(COUNTIF(C493:C494,B496)&gt;=1,"",RAND())</f>
        <v>0.67364420026445282</v>
      </c>
      <c r="E496" s="4">
        <f ca="1">IF(F488=1,4,IF(COUNTIF(F489:F491,F487)=1,4,3))</f>
        <v>3</v>
      </c>
      <c r="F496" t="str">
        <f ca="1">INDEX(B495:B507,MATCH(SMALL(D495:D507,1),D495:D507,0))</f>
        <v>Mark</v>
      </c>
      <c r="G496" s="1" t="s">
        <v>136</v>
      </c>
      <c r="H496" s="1"/>
      <c r="I496" s="1"/>
      <c r="J496" s="1"/>
    </row>
    <row r="497" spans="1:10" x14ac:dyDescent="0.25">
      <c r="A497">
        <f ca="1">SMALL(Sheet4!$B$141:$R$141,3)</f>
        <v>12.024799850985175</v>
      </c>
      <c r="B497" t="str">
        <f ca="1">IF($I$26="On",INDEX(Sheet4!B135:R135,MATCH(Game!$H$490,Sheet4!$B$125:$R$125,0)),Game!H480)</f>
        <v>Cody</v>
      </c>
      <c r="C497">
        <f t="shared" ca="1" si="57"/>
        <v>12.024799850985175</v>
      </c>
      <c r="D497">
        <f ca="1">IF(COUNTIF(C493:C494,B497)&gt;=1,"",RAND())</f>
        <v>0.57536234652950424</v>
      </c>
      <c r="F497" t="str">
        <f ca="1">INDEX(B495:B507,MATCH(SMALL(D495:D507,2),D495:D507,0))</f>
        <v>Jason</v>
      </c>
      <c r="G497" s="1" t="str">
        <f ca="1">IF(F495="",F496&amp;", "&amp;F497&amp;", "&amp;F498&amp;" and "&amp;F499,F495&amp;", "&amp;F496&amp;", "&amp;F497&amp;" and "&amp;F498)</f>
        <v>Elena, Mark, Jason and Cody</v>
      </c>
      <c r="H497" s="1"/>
      <c r="I497" s="1"/>
      <c r="J497" s="1"/>
    </row>
    <row r="498" spans="1:10" x14ac:dyDescent="0.25">
      <c r="A498">
        <f ca="1">SMALL(Sheet4!$B$141:$R$141,4)</f>
        <v>12.228426676996929</v>
      </c>
      <c r="B498" t="str">
        <f ca="1">IF($I$26="On",INDEX(Sheet4!B134:R134,MATCH(Game!$H$490,Sheet4!$B$125:$R$125,0)),Game!H481)</f>
        <v>Elena</v>
      </c>
      <c r="C498">
        <f t="shared" ca="1" si="57"/>
        <v>12.228426676996929</v>
      </c>
      <c r="D498" t="str">
        <f ca="1">IF(COUNTIF(C493:C494,B498)&gt;=1,"",IF($I$26="On",IF(LARGE(C509:C511,1)+1&lt;=C492,RAND(),IF(A498&gt;=B492,"",RAND())),RAND()))</f>
        <v/>
      </c>
      <c r="F498" t="str">
        <f ca="1">INDEX(B495:B507,MATCH(SMALL(D495:D507,3),D495:D507,0))</f>
        <v>Cody</v>
      </c>
      <c r="G498" s="1"/>
      <c r="H498" s="1"/>
      <c r="I498" s="1"/>
      <c r="J498" s="1"/>
    </row>
    <row r="499" spans="1:10" x14ac:dyDescent="0.25">
      <c r="A499">
        <f ca="1">SMALL(Sheet4!$B$141:$R$141,5)</f>
        <v>16.049435784814797</v>
      </c>
      <c r="B499" t="str">
        <f ca="1">IF($I$26="On",INDEX(Sheet4!B133:R133,MATCH(Game!$H$490,Sheet4!$B$125:$R$125,0)),Game!H482)</f>
        <v>Mark</v>
      </c>
      <c r="C499">
        <f t="shared" ca="1" si="57"/>
        <v>16.049435784814797</v>
      </c>
      <c r="D499">
        <f ca="1">IF(COUNTIF($C$493:$C$494,B499)&gt;=1,"",IF($I$26="On",IF(LARGE($C$509:C512,1)+1&lt;=$C$492,RAND(),IF(A499&gt;=$B$492,"",RAND())),RAND()))</f>
        <v>0.47373445632556233</v>
      </c>
      <c r="F499" t="str">
        <f ca="1">IF(E496=3,"",INDEX(B495:B507,MATCH(SMALL(D495:D507,4),D495:D507,0)))</f>
        <v/>
      </c>
      <c r="G499" s="2" t="s">
        <v>137</v>
      </c>
      <c r="H499" s="1"/>
      <c r="I499" s="1"/>
      <c r="J499" s="1"/>
    </row>
    <row r="500" spans="1:10" x14ac:dyDescent="0.25">
      <c r="A500">
        <f ca="1">SMALL(Sheet4!$B$141:$R$141,6)</f>
        <v>45.100969035321583</v>
      </c>
      <c r="B500" t="str">
        <f ca="1">IF($I$26="On",INDEX(Sheet4!B132:R132,MATCH(Game!$H$490,Sheet4!$B$125:$R$125,0)),Game!H483)</f>
        <v>Alex</v>
      </c>
      <c r="C500">
        <f t="shared" ca="1" si="57"/>
        <v>45.100969035321583</v>
      </c>
      <c r="D500">
        <f ca="1">IF(COUNTIF($C$493:$C$494,B500)&gt;=1,"",IF($I$26="On",IF(LARGE($C$509:C513,1)+1&lt;=$C$492,RAND(),IF(A500&gt;=$B$492,"",RAND())),RAND()))</f>
        <v>0.99734077973293245</v>
      </c>
      <c r="F500">
        <f ca="1">IF(F495="","",RAND())</f>
        <v>0.9452916196602783</v>
      </c>
      <c r="G500" s="1" t="str">
        <f ca="1">F505&amp;" requests the key"</f>
        <v>Elena requests the key</v>
      </c>
      <c r="H500" s="1"/>
      <c r="I500" s="1"/>
      <c r="J500" s="1"/>
    </row>
    <row r="501" spans="1:10" x14ac:dyDescent="0.25">
      <c r="A501">
        <f ca="1">SMALL(Sheet4!$B$141:$R$141,7)</f>
        <v>51.299683179009882</v>
      </c>
      <c r="B501" t="str">
        <f ca="1">IF($I$26="On",INDEX(Sheet4!B131:R131,MATCH(Game!$H$490,Sheet4!$B$125:$R$125,0)),Game!H484)</f>
        <v>Matt</v>
      </c>
      <c r="C501">
        <f t="shared" ca="1" si="57"/>
        <v>51.299683179009882</v>
      </c>
      <c r="D501" t="str">
        <f ca="1">IF(COUNTIF($C$493:$C$494,B501)&gt;=1,"",IF($I$26="On",IF(LARGE($C$509:C514,1)+1&lt;=$C$492,RAND(),IF(A501&gt;=$B$492,"",RAND())),RAND()))</f>
        <v/>
      </c>
      <c r="F501">
        <f ca="1">IF(F496="","",RAND())</f>
        <v>8.9974253989735464E-2</v>
      </c>
      <c r="G501" s="1" t="str">
        <f ca="1">IF(F506=1,F505&amp;" is now a Have for the week",F505&amp;" is now a Have Not next week as well")</f>
        <v>Elena is now a Have Not next week as well</v>
      </c>
      <c r="H501" s="1"/>
      <c r="I501" s="1"/>
      <c r="J501" s="1"/>
    </row>
    <row r="502" spans="1:10" x14ac:dyDescent="0.25">
      <c r="A502">
        <f ca="1">SMALL(Sheet4!$B$141:$R$141,8)</f>
        <v>53.184362828358395</v>
      </c>
      <c r="B502" t="str">
        <f ca="1">IF($I$26="On",INDEX(Sheet4!B130:R130,MATCH(Game!$H$490,Sheet4!$B$125:$R$125,0)),Game!H485)</f>
        <v>Jessica</v>
      </c>
      <c r="C502">
        <f t="shared" ca="1" si="57"/>
        <v>53.184362828358395</v>
      </c>
      <c r="D502" t="str">
        <f ca="1">IF(COUNTIF($C$493:$C$494,B502)&gt;=1,"",IF($I$26="On",IF(LARGE($C$509:C515,1)+1&lt;=$C$492,RAND(),IF(A502&gt;=$B$492,"",RAND())),RAND()))</f>
        <v/>
      </c>
      <c r="F502">
        <f ca="1">IF(F497="","",RAND())</f>
        <v>0.87856050563797683</v>
      </c>
    </row>
    <row r="503" spans="1:10" x14ac:dyDescent="0.25">
      <c r="A503">
        <f ca="1">SMALL(Sheet4!$B$141:$R$141,9)</f>
        <v>61.058885096535313</v>
      </c>
      <c r="B503" t="str">
        <f ca="1">IF($I$26="On",INDEX(Sheet4!B129:R129,MATCH(Game!$H$490,Sheet4!$B$125:$R$125,0)),Game!H486)</f>
        <v>Raven</v>
      </c>
      <c r="C503">
        <f t="shared" ca="1" si="57"/>
        <v>61.058885096535313</v>
      </c>
      <c r="D503" t="str">
        <f ca="1">IF(COUNTIF($C$493:$C$494,B503)&gt;=1,"",IF($I$26="On",IF(LARGE($C$509:C516,1)+1&lt;=$C$492,RAND(),IF(A503&gt;=$B$492,"",RAND())),RAND()))</f>
        <v/>
      </c>
      <c r="F503">
        <f ca="1">IF(F498="","",RAND())</f>
        <v>0.25911717282911517</v>
      </c>
      <c r="G503" s="2" t="s">
        <v>94</v>
      </c>
      <c r="H503" s="1"/>
      <c r="I503" s="1"/>
      <c r="J503" s="1"/>
    </row>
    <row r="504" spans="1:10" x14ac:dyDescent="0.25">
      <c r="A504">
        <f ca="1">SMALL(Sheet4!$B$141:$R$141,10)</f>
        <v>73.189409761983782</v>
      </c>
      <c r="B504" t="str">
        <f ca="1">IF($I$26="On",INDEX(Sheet4!B128:R128,MATCH(Game!$H$490,Sheet4!$B$125:$R$125,0)),Game!H487)</f>
        <v>Jillian</v>
      </c>
      <c r="C504">
        <f t="shared" ca="1" si="57"/>
        <v>73.189409761983782</v>
      </c>
      <c r="D504" t="str">
        <f ca="1">IF(COUNTIF($C$493:$C$494,B504)&gt;=1,"",IF($I$26="On",IF(LARGE($C$509:C517,1)+1&lt;=$C$492,RAND(),IF(A504&gt;=$B$492,"",RAND())),RAND()))</f>
        <v/>
      </c>
      <c r="F504" t="str">
        <f ca="1">IF(F499="","",RAND())</f>
        <v/>
      </c>
      <c r="G504" s="4" t="s">
        <v>147</v>
      </c>
      <c r="H504" s="1"/>
      <c r="I504" s="1"/>
      <c r="J504" s="1"/>
    </row>
    <row r="505" spans="1:10" x14ac:dyDescent="0.25">
      <c r="A505">
        <f ca="1">SMALL(Sheet4!$B$141:$R$141,11)</f>
        <v>74.254574277272255</v>
      </c>
      <c r="B505" t="str">
        <f ca="1">IF($I$26="On",INDEX(Sheet4!B127:R127,MATCH(Game!$H$490,Sheet4!$B$125:$R$125,0)),Game!H488)</f>
        <v>Josh</v>
      </c>
      <c r="C505">
        <f t="shared" ca="1" si="57"/>
        <v>74.254574277272255</v>
      </c>
      <c r="D505" t="str">
        <f ca="1">IF(COUNTIF($C$493:$C$494,B505)&gt;=1,"",IF($I$26="On",IF(LARGE($C$509:C518,1)+1&lt;=$C$492,RAND(),IF(A505&gt;=$B$492,"",RAND())),RAND()))</f>
        <v/>
      </c>
      <c r="F505" t="str">
        <f ca="1">INDEX(F495:F499,MATCH(LARGE(F500:F504,1),F500:F504,0))</f>
        <v>Elena</v>
      </c>
      <c r="G505" s="4" t="s">
        <v>148</v>
      </c>
      <c r="H505" s="1"/>
      <c r="I505" s="1"/>
      <c r="J505" s="1"/>
    </row>
    <row r="506" spans="1:10" x14ac:dyDescent="0.25">
      <c r="A506">
        <f ca="1">SMALL(Sheet4!$B$141:$R$141,12)</f>
        <v>83.393267987413225</v>
      </c>
      <c r="B506" t="str">
        <f ca="1">IF($I$26="On",INDEX(Sheet4!B126:R126,MATCH(Game!$H$490,Sheet4!$B$125:$R$125,0)),Game!H489)</f>
        <v>Christmas</v>
      </c>
      <c r="C506">
        <f t="shared" ca="1" si="57"/>
        <v>83.393267987413225</v>
      </c>
      <c r="D506" t="str">
        <f ca="1">IF(COUNTIF($C$493:$C$494,B506)&gt;=1,"",IF($I$26="On",IF(LARGE($C$509:C519,1)+1&lt;=$C$492,RAND(),IF(A506&gt;=$B$492,"",RAND())),RAND()))</f>
        <v/>
      </c>
      <c r="F506">
        <f ca="1">RANDBETWEEN(1,2)</f>
        <v>2</v>
      </c>
      <c r="G506" s="4" t="s">
        <v>149</v>
      </c>
      <c r="H506" s="1"/>
      <c r="I506" s="1"/>
      <c r="J506" s="1"/>
    </row>
    <row r="507" spans="1:10" x14ac:dyDescent="0.25">
      <c r="G507" s="1" t="s">
        <v>141</v>
      </c>
      <c r="H507" s="1"/>
      <c r="I507" s="1"/>
      <c r="J507" s="1"/>
    </row>
    <row r="508" spans="1:10" x14ac:dyDescent="0.25">
      <c r="G508" s="1" t="s">
        <v>142</v>
      </c>
      <c r="H508" s="1"/>
      <c r="I508" s="1"/>
      <c r="J508" s="1"/>
    </row>
    <row r="509" spans="1:10" x14ac:dyDescent="0.25">
      <c r="A509" t="str">
        <f ca="1">INDEX(Sheet4!B143:R143,MATCH(LARGE(Sheet4!B144:R144,1),Sheet4!B144:R144,0))</f>
        <v>Raven</v>
      </c>
      <c r="B509">
        <f ca="1">LARGE(Sheet4!B144:R144,1)</f>
        <v>101</v>
      </c>
      <c r="C509">
        <f ca="1">IF(D495="","",0.5)</f>
        <v>0.5</v>
      </c>
      <c r="G509" s="1" t="str">
        <f ca="1">INDEX(A526:A538,MATCH(LARGE(B526:B538,1),B526:B538,0))</f>
        <v>Matt</v>
      </c>
      <c r="H509" s="1"/>
      <c r="I509" s="1"/>
      <c r="J509" s="1"/>
    </row>
    <row r="510" spans="1:10" x14ac:dyDescent="0.25">
      <c r="A510" t="str">
        <f ca="1">INDEX(Sheet4!B143:R143,MATCH(LARGE(Sheet4!B144:R144,2),Sheet4!B144:R144,0))</f>
        <v>Jessica</v>
      </c>
      <c r="B510">
        <f ca="1">LARGE(Sheet4!B144:R144,2)</f>
        <v>82.335943293871836</v>
      </c>
      <c r="C510">
        <f ca="1">IF(D496="","",IF(C509="",0.5,SMALL(C509,1)+1))</f>
        <v>1.5</v>
      </c>
    </row>
    <row r="511" spans="1:10" x14ac:dyDescent="0.25">
      <c r="A511" t="str">
        <f ca="1">INDEX(Sheet4!B143:R143,MATCH(LARGE(Sheet4!B144:R144,3),Sheet4!B144:R144,0))</f>
        <v>Cody</v>
      </c>
      <c r="B511">
        <f ca="1">LARGE(Sheet4!B144:R144,3)</f>
        <v>73.03778757742748</v>
      </c>
      <c r="C511">
        <f ca="1">IF(D497="","",IF(COUNTIF(C509:C510,"")=2,0.5,LARGE(C509:C510,1)+1))</f>
        <v>2.5</v>
      </c>
      <c r="G511" s="2" t="s">
        <v>104</v>
      </c>
    </row>
    <row r="512" spans="1:10" x14ac:dyDescent="0.25">
      <c r="A512" t="str">
        <f ca="1">INDEX(Sheet4!B143:R143,MATCH(LARGE(Sheet4!B144:R144,4),Sheet4!B144:R144,0))</f>
        <v>Ramses</v>
      </c>
      <c r="B512">
        <f ca="1">LARGE(Sheet4!B144:R144,4)</f>
        <v>61.058885096535313</v>
      </c>
      <c r="C512" t="str">
        <f ca="1">IF(D498="","",LARGE(C509:C511,1)+1)</f>
        <v/>
      </c>
      <c r="G512" t="s">
        <v>150</v>
      </c>
    </row>
    <row r="513" spans="1:9" x14ac:dyDescent="0.25">
      <c r="A513" t="str">
        <f ca="1">INDEX(Sheet4!B143:R143,MATCH(LARGE(Sheet4!B144:R144,5),Sheet4!B144:R144,0))</f>
        <v>Elena</v>
      </c>
      <c r="B513">
        <f ca="1">LARGE(Sheet4!B144:R144,5)</f>
        <v>56.2767320805171</v>
      </c>
      <c r="C513">
        <f ca="1">IF(D499="","",LARGE(C510:C512,1)+1)</f>
        <v>3.5</v>
      </c>
      <c r="G513" t="s">
        <v>163</v>
      </c>
    </row>
    <row r="514" spans="1:9" x14ac:dyDescent="0.25">
      <c r="A514" t="str">
        <f ca="1">INDEX(Sheet4!B143:R143,MATCH(LARGE(Sheet4!B144:R144,6),Sheet4!B144:R144,0))</f>
        <v>Christmas</v>
      </c>
      <c r="B514">
        <f ca="1">LARGE(Sheet4!B144:R144,6)</f>
        <v>49.206725336114673</v>
      </c>
      <c r="C514">
        <f ca="1">IF(D500="","",LARGE(C511:C513,1)+1)</f>
        <v>4.5</v>
      </c>
      <c r="G514" t="s">
        <v>204</v>
      </c>
    </row>
    <row r="515" spans="1:9" x14ac:dyDescent="0.25">
      <c r="A515" t="str">
        <f ca="1">INDEX(Sheet4!B143:R143,MATCH(LARGE(Sheet4!B144:R144,7),Sheet4!B144:R144,0))</f>
        <v>Cameron</v>
      </c>
      <c r="B515">
        <f ca="1">LARGE(Sheet4!B144:R144,7)</f>
        <v>47.409368445659858</v>
      </c>
      <c r="G515" t="s">
        <v>151</v>
      </c>
    </row>
    <row r="516" spans="1:9" x14ac:dyDescent="0.25">
      <c r="A516" t="str">
        <f ca="1">INDEX(Sheet4!B143:R143,MATCH(LARGE(Sheet4!B144:R144,8),Sheet4!B144:R144,0))</f>
        <v>Alex</v>
      </c>
      <c r="B516">
        <f ca="1">LARGE(Sheet4!B144:R144,8)</f>
        <v>27.072683409527087</v>
      </c>
    </row>
    <row r="517" spans="1:9" x14ac:dyDescent="0.25">
      <c r="A517" t="str">
        <f ca="1">INDEX(Sheet4!B143:R143,MATCH(LARGE(Sheet4!B144:R144,9),Sheet4!B144:R144,0))</f>
        <v>Jason</v>
      </c>
      <c r="B517">
        <f ca="1">LARGE(Sheet4!B144:R144,9)</f>
        <v>26.449699295094824</v>
      </c>
      <c r="G517" s="2" t="s">
        <v>83</v>
      </c>
    </row>
    <row r="518" spans="1:9" x14ac:dyDescent="0.25">
      <c r="A518" t="str">
        <f ca="1">INDEX(Sheet4!B143:R143,MATCH(LARGE(Sheet4!B144:R144,10),Sheet4!B144:R144,0))</f>
        <v>Jillian</v>
      </c>
      <c r="B518">
        <f ca="1">LARGE(Sheet4!B144:R144,10)</f>
        <v>25.012998050500968</v>
      </c>
      <c r="E518">
        <f>Sheet4!$A$66</f>
        <v>65</v>
      </c>
      <c r="G518" s="1" t="str">
        <f ca="1">"The first person "&amp;H490&amp;" has nominated is…"</f>
        <v>The first person Ramses has nominated is…</v>
      </c>
    </row>
    <row r="519" spans="1:9" x14ac:dyDescent="0.25">
      <c r="A519" t="str">
        <f ca="1">INDEX(Sheet4!B143:R143,MATCH(LARGE(Sheet4!B144:R144,11),Sheet4!B144:R144,0))</f>
        <v>Josh</v>
      </c>
      <c r="B519">
        <f ca="1">LARGE(Sheet4!B144:R144,11)</f>
        <v>16.322321659313264</v>
      </c>
      <c r="D519" t="str">
        <f ca="1">G519</f>
        <v>Cameron</v>
      </c>
      <c r="E519">
        <f ca="1">INDEX(B509:B522,MATCH(D519,A509:A522,0))</f>
        <v>47.409368445659858</v>
      </c>
      <c r="F519" t="str">
        <f ca="1">INDEX(B495:B506,MATCH(SMALL(C495:C506,1),C495:C506,0))</f>
        <v>Cameron</v>
      </c>
      <c r="G519" s="1" t="str">
        <f ca="1">F519</f>
        <v>Cameron</v>
      </c>
    </row>
    <row r="520" spans="1:9" x14ac:dyDescent="0.25">
      <c r="A520" t="str">
        <f ca="1">INDEX(Sheet4!B143:R143,MATCH(LARGE(Sheet4!B144:R144,12),Sheet4!B144:R144,0))</f>
        <v>Matt</v>
      </c>
      <c r="B520">
        <f ca="1">LARGE(Sheet4!B144:R144,12)</f>
        <v>16.041606218120869</v>
      </c>
      <c r="D520" t="str">
        <f ca="1">G521</f>
        <v>Cody</v>
      </c>
      <c r="E520">
        <f ca="1">INDEX(B509:B522,MATCH(D520,A509:A522,0))</f>
        <v>73.03778757742748</v>
      </c>
      <c r="F520" t="str">
        <f ca="1">INDEX(B495:B506,MATCH(SMALL(C495:C506,2),C495:C506,0))</f>
        <v>Cody</v>
      </c>
      <c r="G520" s="1" t="str">
        <f ca="1">"The second person "&amp;H490&amp;" has nominated is…"</f>
        <v>The second person Ramses has nominated is…</v>
      </c>
    </row>
    <row r="521" spans="1:9" x14ac:dyDescent="0.25">
      <c r="A521" t="str">
        <f ca="1">INDEX(Sheet4!B143:R143,MATCH(LARGE(Sheet4!B144:R144,13),Sheet4!B144:R144,0))</f>
        <v>Mark</v>
      </c>
      <c r="B521">
        <f ca="1">LARGE(Sheet4!B144:R144,13)</f>
        <v>14.404075662040396</v>
      </c>
      <c r="D521" t="str">
        <f ca="1">IF(F526=1,F525,"")</f>
        <v/>
      </c>
      <c r="E521" t="str">
        <f ca="1">IF(D521="","",INDEX(B509:B522,MATCH(D521,A509:A522,0)))</f>
        <v/>
      </c>
      <c r="F521" t="str">
        <f ca="1">IF(F526=1,F525,"")</f>
        <v/>
      </c>
      <c r="G521" s="1" t="str">
        <f ca="1">F520</f>
        <v>Cody</v>
      </c>
    </row>
    <row r="522" spans="1:9" x14ac:dyDescent="0.25">
      <c r="D522">
        <f ca="1">COUNTIF(E519:E521,"&gt;="&amp;E518)</f>
        <v>1</v>
      </c>
      <c r="E522">
        <f ca="1">IF(E521="",2,3)</f>
        <v>2</v>
      </c>
      <c r="F522" t="str">
        <f ca="1">INDEX(B495:B506,MATCH(SMALL(C495:C506,3),C495:C506,0))</f>
        <v>Elena</v>
      </c>
      <c r="G522" s="1"/>
    </row>
    <row r="523" spans="1:9" x14ac:dyDescent="0.25">
      <c r="E523">
        <f ca="1">IF(E522=2,IF(D522=2,3.5,D522+0.5),D522+0.5)</f>
        <v>1.5</v>
      </c>
      <c r="F523" t="str">
        <f ca="1">INDEX(B495:B506,MATCH(SMALL(C495:C506,4),C495:C506,0))</f>
        <v>Mark</v>
      </c>
      <c r="G523" s="1" t="str">
        <f ca="1">IF(F526=1,F525&amp;" stands up and has decided to use the curse","")</f>
        <v/>
      </c>
    </row>
    <row r="524" spans="1:9" x14ac:dyDescent="0.25">
      <c r="A524" t="str">
        <f ca="1">G387</f>
        <v>Raven</v>
      </c>
      <c r="C524" t="str">
        <f ca="1">H527</f>
        <v>Mark</v>
      </c>
      <c r="D524" t="str">
        <f ca="1">H528</f>
        <v>HGC</v>
      </c>
      <c r="F524" t="str">
        <f ca="1">INDEX(B495:B506,MATCH(SMALL(C495:C506,5),C495:C506,0))</f>
        <v>Alex</v>
      </c>
      <c r="G524" s="1" t="str">
        <f ca="1">IF(G523="","",F525&amp;" is now the 3rd nominee")</f>
        <v/>
      </c>
    </row>
    <row r="525" spans="1:9" x14ac:dyDescent="0.25">
      <c r="A525" t="str">
        <f ca="1">G261</f>
        <v>Jason</v>
      </c>
      <c r="C525" t="str">
        <f ca="1">I527</f>
        <v/>
      </c>
      <c r="D525" t="str">
        <f ca="1">I528</f>
        <v>Jillian</v>
      </c>
      <c r="E525" t="str">
        <f ca="1">IF(F526=1,F525,"")</f>
        <v/>
      </c>
      <c r="F525" t="str">
        <f ca="1">F403</f>
        <v>Ramses</v>
      </c>
    </row>
    <row r="526" spans="1:9" x14ac:dyDescent="0.25">
      <c r="A526" t="str">
        <f t="shared" ref="A526:A538" ca="1" si="58">C479</f>
        <v>Alex</v>
      </c>
      <c r="B526">
        <f ca="1">IF(COUNTIF($A$524:$A$525,A526)=1,"",IF($I$23="On",INDEX(Sheet4!$W$2:$W$18,MATCH(Game!A526,Sheet4!$T$2:$T$18,0)),RAND()))</f>
        <v>4.3639077691054071</v>
      </c>
      <c r="C526">
        <f t="shared" ref="C526:C539" ca="1" si="59">IF(COUNTIF($F$519:$F$521,A526)=1,"",IF(A526=$H$490,"",RAND()))</f>
        <v>0.62603174188269184</v>
      </c>
      <c r="D526">
        <f t="shared" ref="D526:E539" ca="1" si="60">IF(C526="","",IF(COUNTIF(C$524:C$525,$A526)=1,"",RAND()))</f>
        <v>7.4593050732880695E-2</v>
      </c>
      <c r="E526">
        <f t="shared" ca="1" si="60"/>
        <v>0.533795887282843</v>
      </c>
      <c r="F526" s="1" t="str">
        <f ca="1">IF(F404=1,"",IF(COUNTIF(I472:J472,F525)=1,"",IF(COUNTIF(H490,F525)+COUNTIF(F519:F520,F525)=1,"CAN'T",RANDBETWEEN(1,2))))</f>
        <v>CAN'T</v>
      </c>
      <c r="G526" s="2" t="s">
        <v>105</v>
      </c>
    </row>
    <row r="527" spans="1:9" x14ac:dyDescent="0.25">
      <c r="A527" t="str">
        <f t="shared" ca="1" si="58"/>
        <v>Cameron</v>
      </c>
      <c r="B527">
        <f ca="1">IF(COUNTIF($A$524:$A$525,A527)=1,"",IF($I$23="On",INDEX(Sheet4!$W$2:$W$18,MATCH(Game!A527,Sheet4!$T$2:$T$18,0)),RAND()))</f>
        <v>45.230006266604192</v>
      </c>
      <c r="C527" t="str">
        <f t="shared" ca="1" si="59"/>
        <v/>
      </c>
      <c r="D527" t="str">
        <f t="shared" ca="1" si="60"/>
        <v/>
      </c>
      <c r="E527" t="str">
        <f t="shared" ca="1" si="60"/>
        <v/>
      </c>
      <c r="G527" t="str">
        <f ca="1">H490&amp;"-"</f>
        <v>Ramses-</v>
      </c>
      <c r="H527" s="29" t="str">
        <f ca="1">INDEX(A526:A539,MATCH(LARGE(C526:C539,1),C526:C539,0))</f>
        <v>Mark</v>
      </c>
      <c r="I527" s="29" t="str">
        <f ca="1">IF(H527="HGC",IF($I$26="On",INDEX(A548:A549,MATCH(SMALL(B548:B549,1),B548:B549,0)),INDEX(A526:A539,MATCH(LARGE(C526:C539,2),C526:C539,0))),"")</f>
        <v/>
      </c>
    </row>
    <row r="528" spans="1:9" x14ac:dyDescent="0.25">
      <c r="A528" t="str">
        <f t="shared" ca="1" si="58"/>
        <v>Christmas</v>
      </c>
      <c r="B528">
        <f ca="1">IF(COUNTIF($A$524:$A$525,A528)=1,"",IF($I$23="On",INDEX(Sheet4!$W$2:$W$18,MATCH(Game!A528,Sheet4!$T$2:$T$18,0)),RAND()))</f>
        <v>29.241633450842453</v>
      </c>
      <c r="C528">
        <f t="shared" ca="1" si="59"/>
        <v>0.66536240163666971</v>
      </c>
      <c r="D528">
        <f t="shared" ca="1" si="60"/>
        <v>0.29307413647331182</v>
      </c>
      <c r="E528">
        <f t="shared" ca="1" si="60"/>
        <v>0.77297351843992768</v>
      </c>
      <c r="G528" t="str">
        <f ca="1">IF(G523="",G519&amp;"-",H490&amp;"-")</f>
        <v>Cameron-</v>
      </c>
      <c r="H528" s="29" t="str">
        <f ca="1">INDEX(A526:A540,MATCH(LARGE(D526:D540,1),D526:D540,0))</f>
        <v>HGC</v>
      </c>
      <c r="I528" s="29" t="str">
        <f ca="1">IF(H528="HGC",IF(I149="On",INDEX(C548:C551,MATCH(SMALL(D548:D551,1),D548:D551,0)),INDEX(A526:A540,MATCH(LARGE(D526:D540,2),D526:D540,0))),"")</f>
        <v>Jillian</v>
      </c>
    </row>
    <row r="529" spans="1:9" x14ac:dyDescent="0.25">
      <c r="A529" t="str">
        <f t="shared" ca="1" si="58"/>
        <v>Cody</v>
      </c>
      <c r="B529">
        <f ca="1">IF(COUNTIF($A$524:$A$525,A529)=1,"",IF($I$23="On",INDEX(Sheet4!$W$2:$W$18,MATCH(Game!A529,Sheet4!$T$2:$T$18,0)),RAND()))</f>
        <v>3.0948384658292247</v>
      </c>
      <c r="C529" t="str">
        <f t="shared" ca="1" si="59"/>
        <v/>
      </c>
      <c r="D529" t="str">
        <f t="shared" ca="1" si="60"/>
        <v/>
      </c>
      <c r="E529" t="str">
        <f t="shared" ca="1" si="60"/>
        <v/>
      </c>
      <c r="G529" t="str">
        <f ca="1">IF(G523="",G521&amp;"-","")</f>
        <v>Cody-</v>
      </c>
      <c r="H529" s="29" t="str">
        <f ca="1">IF(G529="","",INDEX(A526:A539,MATCH(LARGE(E526:E539,1),E526:E539,0)))</f>
        <v>Elena</v>
      </c>
      <c r="I529" s="29" t="str">
        <f ca="1">IF(H529="HGC",IF($I$26="On",INDEX(E548:E553,MATCH(SMALL(F548:F553,1),F548:F553,0)),INDEX(A526:A539,MATCH(LARGE(E526:E539,2),E526:E539,0))),"")</f>
        <v/>
      </c>
    </row>
    <row r="530" spans="1:9" x14ac:dyDescent="0.25">
      <c r="A530" t="str">
        <f t="shared" ca="1" si="58"/>
        <v>Elena</v>
      </c>
      <c r="B530">
        <f ca="1">IF(COUNTIF($A$524:$A$525,A530)=1,"",IF($I$23="On",INDEX(Sheet4!$W$2:$W$18,MATCH(Game!A530,Sheet4!$T$2:$T$18,0)),RAND()))</f>
        <v>73.151061348820406</v>
      </c>
      <c r="C530">
        <f t="shared" ca="1" si="59"/>
        <v>0.19255403387882575</v>
      </c>
      <c r="D530">
        <f t="shared" ca="1" si="60"/>
        <v>0.30301454866792832</v>
      </c>
      <c r="E530">
        <f t="shared" ca="1" si="60"/>
        <v>0.97756051254834209</v>
      </c>
    </row>
    <row r="531" spans="1:9" x14ac:dyDescent="0.25">
      <c r="A531" t="str">
        <f t="shared" ca="1" si="58"/>
        <v>Jason</v>
      </c>
      <c r="B531" t="str">
        <f ca="1">IF(COUNTIF($A$524:$A$525,A531)=1,"",IF($I$23="On",INDEX(Sheet4!$W$2:$W$18,MATCH(Game!A531,Sheet4!$T$2:$T$18,0)),RAND()))</f>
        <v/>
      </c>
      <c r="C531">
        <f t="shared" ca="1" si="59"/>
        <v>0.86986298998340117</v>
      </c>
      <c r="D531">
        <f t="shared" ca="1" si="60"/>
        <v>0.35332074473161457</v>
      </c>
      <c r="E531">
        <f t="shared" ca="1" si="60"/>
        <v>0.89089663791827112</v>
      </c>
      <c r="G531" s="1" t="str">
        <f ca="1">IF(F534="Yes",F532&amp;" stands up and decides to use The Ring of Replacement","")</f>
        <v>Raven stands up and decides to use The Ring of Replacement</v>
      </c>
    </row>
    <row r="532" spans="1:9" x14ac:dyDescent="0.25">
      <c r="A532" t="str">
        <f t="shared" ca="1" si="58"/>
        <v>Jessica</v>
      </c>
      <c r="B532">
        <f ca="1">IF(COUNTIF($A$524:$A$525,A532)=1,"",IF($I$23="On",INDEX(Sheet4!$W$2:$W$18,MATCH(Game!A532,Sheet4!$T$2:$T$18,0)),RAND()))</f>
        <v>58.364198002672978</v>
      </c>
      <c r="C532">
        <f t="shared" ca="1" si="59"/>
        <v>0.12217478726372288</v>
      </c>
      <c r="D532">
        <f t="shared" ca="1" si="60"/>
        <v>0.63827323371670297</v>
      </c>
      <c r="E532">
        <f t="shared" ca="1" si="60"/>
        <v>0.87855343807715514</v>
      </c>
      <c r="F532" s="1" t="str">
        <f ca="1">$G$387</f>
        <v>Raven</v>
      </c>
      <c r="G532" s="1" t="str">
        <f ca="1">IF(G531="","",F532&amp;" uses it to replace…")</f>
        <v>Raven uses it to replace…</v>
      </c>
    </row>
    <row r="533" spans="1:9" x14ac:dyDescent="0.25">
      <c r="A533" t="str">
        <f t="shared" ca="1" si="58"/>
        <v>Jillian</v>
      </c>
      <c r="B533">
        <f ca="1">IF(COUNTIF($A$524:$A$525,A533)=1,"",IF($I$23="On",INDEX(Sheet4!$W$2:$W$18,MATCH(Game!A533,Sheet4!$T$2:$T$18,0)),RAND()))</f>
        <v>0.20959349687740736</v>
      </c>
      <c r="C533">
        <f t="shared" ca="1" si="59"/>
        <v>0.78294354607034633</v>
      </c>
      <c r="D533">
        <f t="shared" ca="1" si="60"/>
        <v>0.72034742735863311</v>
      </c>
      <c r="E533" t="str">
        <f t="shared" ca="1" si="60"/>
        <v/>
      </c>
      <c r="F533" s="1">
        <f ca="1">IF(G410&lt;&gt;"","",IF(F532=G460,"",IF(COUNTIF(H490,F532)+COUNTIF(F519:F521,F532)+COUNTIF(H527:I529,F532)+COUNTIF(A551,F532)+COUNTIF(E525,F532)&gt;=1,"IN",IF($I$26="On",RANDBETWEEN(1,3),RANDBETWEEN(1,5)))))</f>
        <v>1</v>
      </c>
      <c r="G533" s="1" t="str">
        <f ca="1">IF(G532="","",INDEX(A557:A559,MATCH(SMALL(B557:B559,1),B557:B559,0)))</f>
        <v>Mark</v>
      </c>
    </row>
    <row r="534" spans="1:9" x14ac:dyDescent="0.25">
      <c r="A534" t="str">
        <f t="shared" ca="1" si="58"/>
        <v>Josh</v>
      </c>
      <c r="B534">
        <f ca="1">IF(COUNTIF($A$524:$A$525,A534)=1,"",IF($I$23="On",INDEX(Sheet4!$W$2:$W$18,MATCH(Game!A534,Sheet4!$T$2:$T$18,0)),RAND()))</f>
        <v>9.4378974628589507</v>
      </c>
      <c r="C534">
        <f t="shared" ca="1" si="59"/>
        <v>0.34335739374434315</v>
      </c>
      <c r="D534">
        <f t="shared" ca="1" si="60"/>
        <v>0.70919357526585325</v>
      </c>
      <c r="E534">
        <f t="shared" ca="1" si="60"/>
        <v>0.76703339884224186</v>
      </c>
      <c r="F534" t="str">
        <f ca="1">IF(F533="","",IF(F533="IN","No",IF($I$26="On",IF(F533&lt;=E523,"Yes","No"),IF(F533=1,"Yes","No"))))</f>
        <v>Yes</v>
      </c>
    </row>
    <row r="535" spans="1:9" x14ac:dyDescent="0.25">
      <c r="A535" t="str">
        <f t="shared" ca="1" si="58"/>
        <v>Mark</v>
      </c>
      <c r="B535">
        <f ca="1">IF(COUNTIF($A$524:$A$525,A535)=1,"",IF($I$23="On",INDEX(Sheet4!$W$2:$W$18,MATCH(Game!A535,Sheet4!$T$2:$T$18,0)),RAND()))</f>
        <v>43.362320648967305</v>
      </c>
      <c r="C535">
        <f t="shared" ca="1" si="59"/>
        <v>0.96014084616947759</v>
      </c>
      <c r="D535" t="str">
        <f t="shared" ca="1" si="60"/>
        <v/>
      </c>
      <c r="E535" t="str">
        <f t="shared" ca="1" si="60"/>
        <v/>
      </c>
      <c r="F535">
        <f ca="1">IF(F539="HGC","",IF(COUNTIF(G536:I537,F539)=1,"",1))</f>
        <v>1</v>
      </c>
      <c r="G535" s="2" t="s">
        <v>106</v>
      </c>
    </row>
    <row r="536" spans="1:9" x14ac:dyDescent="0.25">
      <c r="A536" t="str">
        <f t="shared" ca="1" si="58"/>
        <v>Matt</v>
      </c>
      <c r="B536">
        <f ca="1">IF(COUNTIF($A$524:$A$525,A536)=1,"",IF($I$23="On",INDEX(Sheet4!$W$2:$W$18,MATCH(Game!A536,Sheet4!$T$2:$T$18,0)),RAND()))</f>
        <v>84.272357708403192</v>
      </c>
      <c r="C536">
        <f t="shared" ca="1" si="59"/>
        <v>0.42666489129133656</v>
      </c>
      <c r="D536">
        <f t="shared" ca="1" si="60"/>
        <v>8.2118667116275135E-2</v>
      </c>
      <c r="E536">
        <f t="shared" ca="1" si="60"/>
        <v>0.58177947845450717</v>
      </c>
      <c r="F536">
        <f ca="1">IF(F540="HGC","",IF(COUNTIF(G536:I537,F540)=1,"",2))</f>
        <v>2</v>
      </c>
      <c r="G536" s="29" t="str">
        <f ca="1">H490</f>
        <v>Ramses</v>
      </c>
      <c r="H536" s="29" t="str">
        <f ca="1">G519</f>
        <v>Cameron</v>
      </c>
      <c r="I536" s="29" t="str">
        <f ca="1">G521</f>
        <v>Cody</v>
      </c>
    </row>
    <row r="537" spans="1:9" x14ac:dyDescent="0.25">
      <c r="A537" t="str">
        <f t="shared" ca="1" si="58"/>
        <v>Ramses</v>
      </c>
      <c r="B537">
        <f ca="1">IF(COUNTIF($A$524:$A$525,A537)=1,"",IF($I$23="On",INDEX(Sheet4!$W$2:$W$18,MATCH(Game!A537,Sheet4!$T$2:$T$18,0)),RAND()))</f>
        <v>63.077716305726696</v>
      </c>
      <c r="C537" t="str">
        <f t="shared" ca="1" si="59"/>
        <v/>
      </c>
      <c r="D537" t="str">
        <f t="shared" ca="1" si="60"/>
        <v/>
      </c>
      <c r="E537" t="str">
        <f t="shared" ca="1" si="60"/>
        <v/>
      </c>
      <c r="F537">
        <f ca="1">IF(F541="HGC","",IF(COUNTIF(G536:I537,F541)=1,"",3))</f>
        <v>3</v>
      </c>
      <c r="G537" s="29" t="str">
        <f ca="1">IF(F526=1,F525,C557)</f>
        <v>Raven</v>
      </c>
      <c r="H537" s="29" t="str">
        <f ca="1">IF(F526=1,C557,C558)</f>
        <v>Jillian</v>
      </c>
      <c r="I537" s="29" t="str">
        <f ca="1">IF(F526=1,C558,C559)</f>
        <v>Elena</v>
      </c>
    </row>
    <row r="538" spans="1:9" x14ac:dyDescent="0.25">
      <c r="A538" t="str">
        <f t="shared" ca="1" si="58"/>
        <v>Raven</v>
      </c>
      <c r="B538" t="str">
        <f ca="1">IF(COUNTIF($A$524:$A$525,A538)=1,"",IF($I$23="On",INDEX(Sheet4!$W$2:$W$18,MATCH(Game!A538,Sheet4!$T$2:$T$18,0)),RAND()))</f>
        <v/>
      </c>
      <c r="C538">
        <f t="shared" ca="1" si="59"/>
        <v>0.40618873917456233</v>
      </c>
      <c r="D538">
        <f t="shared" ca="1" si="60"/>
        <v>0.15643140774138031</v>
      </c>
      <c r="E538">
        <f t="shared" ca="1" si="60"/>
        <v>0.25792203029033445</v>
      </c>
      <c r="F538">
        <f ca="1">IF(F542="HGC","",IF(COUNTIF(G536:I537,F542)=1,"",4))</f>
        <v>4</v>
      </c>
      <c r="G538" t="s">
        <v>107</v>
      </c>
      <c r="H538" t="str">
        <f ca="1">INDEX(F539:F542,MATCH(SMALL(F535:F538,1),F535:F538,0))</f>
        <v>Jessica</v>
      </c>
    </row>
    <row r="539" spans="1:9" x14ac:dyDescent="0.25">
      <c r="A539" t="s">
        <v>89</v>
      </c>
      <c r="C539">
        <f t="shared" ca="1" si="59"/>
        <v>0.87660267091680522</v>
      </c>
      <c r="D539">
        <f t="shared" ca="1" si="60"/>
        <v>0.84642927425279491</v>
      </c>
      <c r="E539" t="str">
        <f t="shared" ca="1" si="60"/>
        <v/>
      </c>
      <c r="F539" t="str">
        <f ca="1">INDEX(A526:A540,MATCH(LARGE(E526:E540,3),E526:E540,0))</f>
        <v>Jessica</v>
      </c>
    </row>
    <row r="540" spans="1:9" x14ac:dyDescent="0.25">
      <c r="A540" t="str">
        <f ca="1">G533</f>
        <v>Mark</v>
      </c>
      <c r="E540">
        <f ca="1">IF(A540="","",IF(I529=G533,"",RAND()))</f>
        <v>0.39948047824137345</v>
      </c>
      <c r="F540" t="str">
        <f ca="1">INDEX(A526:A540,MATCH(LARGE(E526:E540,4),E526:E540,0))</f>
        <v>Christmas</v>
      </c>
      <c r="G540" t="s">
        <v>48</v>
      </c>
      <c r="H540" t="str">
        <f ca="1">INDEX(D554:D559,MATCH(SMALL(E554:E559,1),E554:E559,0))</f>
        <v>Jillian</v>
      </c>
    </row>
    <row r="541" spans="1:9" x14ac:dyDescent="0.25">
      <c r="F541" t="str">
        <f ca="1">INDEX(A526:A540,MATCH(LARGE(E526:E540,5),E526:E540,0))</f>
        <v>Josh</v>
      </c>
      <c r="G541" t="str">
        <f ca="1">H540&amp;" took the temptation and is first out of the comp, and wins a total sum of… $27!"</f>
        <v>Jillian took the temptation and is first out of the comp, and wins a total sum of… $27!</v>
      </c>
    </row>
    <row r="542" spans="1:9" x14ac:dyDescent="0.25">
      <c r="F542" t="str">
        <f ca="1">INDEX(A526:A540,MATCH(LARGE(E526:E540,6),E526:E540,0))</f>
        <v>Matt</v>
      </c>
    </row>
    <row r="543" spans="1:9" x14ac:dyDescent="0.25">
      <c r="G543" t="s">
        <v>49</v>
      </c>
      <c r="H543" t="str">
        <f ca="1">INDEX(D554:D559,MATCH(SMALL(E554:E559,2),E554:E559,0))</f>
        <v>Cody</v>
      </c>
    </row>
    <row r="544" spans="1:9" x14ac:dyDescent="0.25">
      <c r="G544" t="s">
        <v>50</v>
      </c>
      <c r="H544" t="str">
        <f ca="1">INDEX(D554:D559,MATCH(SMALL(E554:E559,3),E554:E559,0))</f>
        <v>Cameron</v>
      </c>
    </row>
    <row r="545" spans="1:8" x14ac:dyDescent="0.25">
      <c r="G545" t="s">
        <v>52</v>
      </c>
      <c r="H545" t="str">
        <f ca="1">INDEX(D554:D559,MATCH(SMALL(E554:E559,4),E554:E559,0))</f>
        <v>Raven</v>
      </c>
    </row>
    <row r="546" spans="1:8" x14ac:dyDescent="0.25">
      <c r="G546" t="s">
        <v>53</v>
      </c>
      <c r="H546" t="str">
        <f ca="1">INDEX(D554:D559,MATCH(SMALL(E554:E559,5),E554:E559,0))</f>
        <v>Ramses</v>
      </c>
    </row>
    <row r="547" spans="1:8" x14ac:dyDescent="0.25">
      <c r="A547" t="str">
        <f ca="1">H490</f>
        <v>Ramses</v>
      </c>
      <c r="C547" t="str">
        <f ca="1">IF(F526=1,H490,G519)</f>
        <v>Cameron</v>
      </c>
      <c r="E547" t="str">
        <f ca="1">IF(F526=1,"",G521)</f>
        <v>Cody</v>
      </c>
      <c r="G547" t="s">
        <v>54</v>
      </c>
      <c r="H547" t="str">
        <f ca="1">INDEX(D554:D559,MATCH(SMALL(E554:E559,6),E554:E559,0))</f>
        <v>Elena</v>
      </c>
    </row>
    <row r="548" spans="1:8" x14ac:dyDescent="0.25">
      <c r="A548" t="str">
        <f ca="1">INDEX(Sheet4!B126:R126,MATCH(Game!A547,Sheet4!B125:R125,0))</f>
        <v>Christmas</v>
      </c>
      <c r="B548">
        <f ca="1">IF(A551=A548,"",1)</f>
        <v>1</v>
      </c>
      <c r="C548" t="str">
        <f ca="1">INDEX(Sheet4!B126:R126,MATCH(Game!C547,Sheet4!B125:R125,0))</f>
        <v>Alex</v>
      </c>
      <c r="D548">
        <f ca="1">IF(COUNTIF($A$551:$A$553,C548)&gt;=1,"",1)</f>
        <v>1</v>
      </c>
      <c r="E548" t="str">
        <f ca="1">INDEX(Sheet4!B126:R126,MATCH(Game!E547,Sheet4!B125:R125,0))</f>
        <v>Elena</v>
      </c>
      <c r="F548">
        <f ca="1">IF(COUNTIF($A$551:$A$555,E548)&gt;=1,"",1)</f>
        <v>1</v>
      </c>
      <c r="G548" t="str">
        <f ca="1">"Congratulations, "&amp;H547</f>
        <v>Congratulations, Elena</v>
      </c>
    </row>
    <row r="549" spans="1:8" x14ac:dyDescent="0.25">
      <c r="A549" t="str">
        <f ca="1">INDEX(Sheet4!B127:R127,MATCH(Game!A547,Sheet4!B125:R125,0))</f>
        <v>Josh</v>
      </c>
      <c r="B549">
        <f ca="1">IF(A551=A549,"",2)</f>
        <v>2</v>
      </c>
      <c r="C549" t="str">
        <f ca="1">INDEX(Sheet4!B127:R127,MATCH(Game!C547,Sheet4!B125:R125,0))</f>
        <v>Cody</v>
      </c>
      <c r="D549">
        <f ca="1">IF(COUNTIF($A$551:$A$553,C549)&gt;=1,"",2)</f>
        <v>2</v>
      </c>
      <c r="E549" t="str">
        <f ca="1">INDEX(Sheet4!B127:R127,MATCH(Game!E547,Sheet4!B125:R125,0))</f>
        <v>Matt</v>
      </c>
      <c r="F549">
        <f ca="1">IF(COUNTIF($A$551:$A$555,E549)&gt;=1,"",2)</f>
        <v>2</v>
      </c>
    </row>
    <row r="550" spans="1:8" x14ac:dyDescent="0.25">
      <c r="C550" t="str">
        <f ca="1">INDEX(Sheet4!B128:R128,MATCH(Game!C547,Sheet4!B125:R125,0))</f>
        <v>Matt</v>
      </c>
      <c r="D550">
        <f ca="1">IF(COUNTIF($A$551:$A$553,C550)&gt;=1,"",3)</f>
        <v>3</v>
      </c>
      <c r="E550" t="str">
        <f ca="1">INDEX(Sheet4!B128:R128,MATCH(Game!E547,Sheet4!B125:R125,0))</f>
        <v>Raven</v>
      </c>
      <c r="F550">
        <f ca="1">IF(COUNTIF($A$551:$A$555,E550)&gt;=1,"",3)</f>
        <v>3</v>
      </c>
      <c r="G550" s="2" t="s">
        <v>111</v>
      </c>
    </row>
    <row r="551" spans="1:8" x14ac:dyDescent="0.25">
      <c r="A551" t="str">
        <f ca="1">IF(F526=1,F525,"")</f>
        <v/>
      </c>
      <c r="C551" t="str">
        <f ca="1">INDEX(Sheet4!B129:R129,MATCH(Game!C547,Sheet4!B125:R125,0))</f>
        <v>Jillian</v>
      </c>
      <c r="D551">
        <f ca="1">IF(COUNTIF($A$551:$A$553,C551)&gt;=1,"",4)</f>
        <v>4</v>
      </c>
      <c r="E551" t="str">
        <f ca="1">INDEX(Sheet4!B129:R129,MATCH(Game!E547,Sheet4!B125:R125,0))</f>
        <v>Cameron</v>
      </c>
      <c r="F551" t="str">
        <f ca="1">IF(COUNTIF($A$551:$A$555,E551)&gt;=1,"",4)</f>
        <v/>
      </c>
      <c r="G551" t="str">
        <f ca="1">H547&amp;" has decided to use the POV to save"</f>
        <v>Elena has decided to use the POV to save</v>
      </c>
    </row>
    <row r="552" spans="1:8" x14ac:dyDescent="0.25">
      <c r="A552" t="str">
        <f ca="1">A547</f>
        <v>Ramses</v>
      </c>
      <c r="E552" t="str">
        <f ca="1">INDEX(Sheet4!B130:R130,MATCH(Game!E547,Sheet4!B125:R125,0))</f>
        <v>Josh</v>
      </c>
      <c r="F552">
        <f ca="1">IF(COUNTIF($A$551:$A$555,E552)&gt;=1,"",5)</f>
        <v>5</v>
      </c>
      <c r="G552" t="str">
        <f ca="1">IF($I$26="On",Sheet4!A150,IF(COUNTIF(F519:F521,H547)=1,H547,IF(F554=1,F519,IF(F554=2,F520,IF(F521="","Neither Nominee",IF(F554=3,F521,"Nobody"))))))</f>
        <v>Cody</v>
      </c>
    </row>
    <row r="553" spans="1:8" x14ac:dyDescent="0.25">
      <c r="A553" t="str">
        <f ca="1">A557</f>
        <v>Mark</v>
      </c>
      <c r="E553" t="str">
        <f ca="1">INDEX(Sheet4!B131:R131,MATCH(Game!E547,Sheet4!B125:R125,0))</f>
        <v>Jillian</v>
      </c>
      <c r="F553" t="str">
        <f ca="1">IF(COUNTIF($A$551:$A$555,E553)&gt;=1,"",6)</f>
        <v/>
      </c>
      <c r="G553" t="str">
        <f ca="1">IF(G552=F521,"This POV Ceremony is adjourned",IF(G552="Nobody","This POV Ceremony is adjourned",IF(G552="Neither Nominee","This POV Ceremony is adjourned",H490&amp;" has decided to put up")))</f>
        <v>Ramses has decided to put up</v>
      </c>
    </row>
    <row r="554" spans="1:8" x14ac:dyDescent="0.25">
      <c r="A554" t="str">
        <f ca="1">C547</f>
        <v>Cameron</v>
      </c>
      <c r="D554" t="str">
        <f ca="1">G536</f>
        <v>Ramses</v>
      </c>
      <c r="E554">
        <f t="shared" ref="E554:E559" ca="1" si="61">RAND()</f>
        <v>0.92186963213415885</v>
      </c>
      <c r="F554">
        <f ca="1">IF(F526=1,RANDBETWEEN(1,6),RANDBETWEEN(1,4))</f>
        <v>4</v>
      </c>
      <c r="G554" t="str">
        <f ca="1">IF(COUNTIF(G553,"*adjourned")=1,"",INDEX(A561:A563,MATCH(SMALL(B561:B563,1),B561:B563,0)))</f>
        <v>Mark</v>
      </c>
    </row>
    <row r="555" spans="1:8" x14ac:dyDescent="0.25">
      <c r="A555" t="str">
        <f ca="1">A558</f>
        <v>Jillian</v>
      </c>
      <c r="D555" t="str">
        <f ca="1">H536</f>
        <v>Cameron</v>
      </c>
      <c r="E555">
        <f t="shared" ca="1" si="61"/>
        <v>0.27001755684631534</v>
      </c>
      <c r="G555" t="s">
        <v>152</v>
      </c>
    </row>
    <row r="556" spans="1:8" x14ac:dyDescent="0.25">
      <c r="D556" t="str">
        <f ca="1">I536</f>
        <v>Cody</v>
      </c>
      <c r="E556">
        <f t="shared" ca="1" si="61"/>
        <v>0.17004470421383833</v>
      </c>
      <c r="G556" t="str">
        <f ca="1">IF(G519=G552,G554,G519)</f>
        <v>Cameron</v>
      </c>
    </row>
    <row r="557" spans="1:8" x14ac:dyDescent="0.25">
      <c r="A557" t="str">
        <f ca="1">IF(H527="HGC",I527,H527)</f>
        <v>Mark</v>
      </c>
      <c r="B557">
        <f ca="1">IF($I$26="On",INDEX(B509:B521,MATCH(A557,A509:A521,0)),RAND())</f>
        <v>14.404075662040396</v>
      </c>
      <c r="C557" t="str">
        <f ca="1">IF(A557=B560,A509,A557)</f>
        <v>Raven</v>
      </c>
      <c r="D557" t="str">
        <f ca="1">G537</f>
        <v>Raven</v>
      </c>
      <c r="E557">
        <f t="shared" ca="1" si="61"/>
        <v>0.8366141413103666</v>
      </c>
      <c r="G557" t="str">
        <f ca="1">IF(G521=G552,G554,G521)</f>
        <v>Mark</v>
      </c>
    </row>
    <row r="558" spans="1:8" x14ac:dyDescent="0.25">
      <c r="A558" t="str">
        <f ca="1">IF(H528="HGC",I528,H528)</f>
        <v>Jillian</v>
      </c>
      <c r="B558">
        <f ca="1">IF($I$26="On",INDEX(B509:B521,MATCH(A558,A509:A521,0)),RAND())</f>
        <v>25.012998050500968</v>
      </c>
      <c r="C558" t="str">
        <f ca="1">IF(A558=B560,A509,A558)</f>
        <v>Jillian</v>
      </c>
      <c r="D558" t="str">
        <f ca="1">H537</f>
        <v>Jillian</v>
      </c>
      <c r="E558">
        <f t="shared" ca="1" si="61"/>
        <v>0.11231740831285431</v>
      </c>
      <c r="G558" t="str">
        <f ca="1">IF(F521=G552,"",F521)</f>
        <v/>
      </c>
    </row>
    <row r="559" spans="1:8" x14ac:dyDescent="0.25">
      <c r="A559" t="str">
        <f ca="1">IF(H529="","",IF(H529="HGC",I529,H529))</f>
        <v>Elena</v>
      </c>
      <c r="B559">
        <f ca="1">IF(A559="","",IF($I$26="On",INDEX(B509:B521,MATCH(A559,A509:A521,0)),RAND()))</f>
        <v>56.2767320805171</v>
      </c>
      <c r="C559" t="str">
        <f ca="1">IF(A559="","",IF(A559=B560,A509,A559))</f>
        <v>Elena</v>
      </c>
      <c r="D559" t="str">
        <f ca="1">I537</f>
        <v>Elena</v>
      </c>
      <c r="E559">
        <f t="shared" ca="1" si="61"/>
        <v>0.940258878638358</v>
      </c>
    </row>
    <row r="560" spans="1:8" x14ac:dyDescent="0.25">
      <c r="B560" t="str">
        <f ca="1">G533</f>
        <v>Mark</v>
      </c>
      <c r="G560" s="2" t="s">
        <v>114</v>
      </c>
    </row>
    <row r="561" spans="1:9" x14ac:dyDescent="0.25">
      <c r="A561" t="str">
        <f ca="1">F522</f>
        <v>Elena</v>
      </c>
      <c r="B561" t="str">
        <f ca="1">IF(A561=H547,"",IF(A561=F521,"",1))</f>
        <v/>
      </c>
      <c r="D561" t="str">
        <f ca="1">IF($I$26="On",Sheet4!A155,IF(COUNTIF(G556:G558,G509)=1,RANDBETWEEN(1,2),RANDBETWEEN(1,4)))</f>
        <v>Halt</v>
      </c>
      <c r="E561" t="str">
        <f ca="1">IF(D561=1,"Halt",IF(D561="Halt","Halt","No"))</f>
        <v>Halt</v>
      </c>
      <c r="F561" t="str">
        <f ca="1">H490</f>
        <v>Ramses</v>
      </c>
      <c r="G561" s="29" t="str">
        <f ca="1">G556</f>
        <v>Cameron</v>
      </c>
      <c r="H561" s="29" t="str">
        <f ca="1">G557</f>
        <v>Mark</v>
      </c>
      <c r="I561" s="29" t="str">
        <f ca="1">G558</f>
        <v/>
      </c>
    </row>
    <row r="562" spans="1:9" x14ac:dyDescent="0.25">
      <c r="A562" t="str">
        <f ca="1">F523</f>
        <v>Mark</v>
      </c>
      <c r="B562">
        <f ca="1">IF(A562=H547,"",IF(A562=F521,"",2))</f>
        <v>2</v>
      </c>
    </row>
    <row r="563" spans="1:9" x14ac:dyDescent="0.25">
      <c r="A563" t="str">
        <f ca="1">F524</f>
        <v>Alex</v>
      </c>
      <c r="B563">
        <f ca="1">IF(A563=H547,"",IF(A563=F521,"",3))</f>
        <v>3</v>
      </c>
      <c r="C563" t="str">
        <f t="shared" ref="C563:C575" ca="1" si="62">A526</f>
        <v>Alex</v>
      </c>
      <c r="D563">
        <f t="shared" ref="D563:D575" ca="1" si="63">IF(COUNTIF($F$561:$I$561,C563)=1,"",RAND())</f>
        <v>0.12059528566731559</v>
      </c>
      <c r="G563" t="str">
        <f ca="1">IF(E561="Halt",G509&amp;" has decided to use the Halting Hex power","")</f>
        <v>Matt has decided to use the Halting Hex power</v>
      </c>
    </row>
    <row r="564" spans="1:9" x14ac:dyDescent="0.25">
      <c r="C564" t="str">
        <f t="shared" ca="1" si="62"/>
        <v>Cameron</v>
      </c>
      <c r="D564" t="str">
        <f t="shared" ca="1" si="63"/>
        <v/>
      </c>
      <c r="G564" t="str">
        <f ca="1">IF(E561="Halt","This eviction is cancelled","")</f>
        <v>This eviction is cancelled</v>
      </c>
    </row>
    <row r="565" spans="1:9" x14ac:dyDescent="0.25">
      <c r="C565" t="str">
        <f t="shared" ca="1" si="62"/>
        <v>Christmas</v>
      </c>
      <c r="D565">
        <f t="shared" ca="1" si="63"/>
        <v>0.29973207079199682</v>
      </c>
      <c r="E565" t="str">
        <f ca="1">INDEX(C563:C576,MATCH(SMALL(D563:D576,1),D563:D576,0))</f>
        <v>Jillian</v>
      </c>
      <c r="F565">
        <f t="shared" ref="F565:F573" ca="1" si="64">IF($I$561="",RANDBETWEEN(1,2),RANDBETWEEN(1,3))</f>
        <v>1</v>
      </c>
      <c r="G565" t="str">
        <f ca="1">IF(E561="Halt","",E565&amp;"-")</f>
        <v/>
      </c>
      <c r="H565" t="str">
        <f ca="1">IF(G565="","",IF($I$26="On",INDEX(Sheet4!$B$161:$R$161,MATCH(Game!E565,Sheet4!$B$157:$R$157,0)),IF(Game!F565=1,Game!$G$561,IF(Game!F565=2,Game!$H$561,Game!$I$561))))</f>
        <v/>
      </c>
    </row>
    <row r="566" spans="1:9" x14ac:dyDescent="0.25">
      <c r="C566" t="str">
        <f t="shared" ca="1" si="62"/>
        <v>Cody</v>
      </c>
      <c r="D566">
        <f t="shared" ca="1" si="63"/>
        <v>0.94330289818532598</v>
      </c>
      <c r="E566" t="str">
        <f ca="1">INDEX(C563:C576,MATCH(SMALL(D563:D576,2),D563:D576,0))</f>
        <v>Alex</v>
      </c>
      <c r="F566">
        <f t="shared" ca="1" si="64"/>
        <v>2</v>
      </c>
      <c r="G566" t="str">
        <f t="shared" ref="G566:G573" ca="1" si="65">IF(G565="","",E566&amp;"-")</f>
        <v/>
      </c>
      <c r="H566" t="str">
        <f ca="1">IF(G566="","",IF($I$26="On",INDEX(Sheet4!$B$161:$R$161,MATCH(Game!E566,Sheet4!$B$157:$R$157,0)),IF(Game!F566=1,Game!$G$561,IF(Game!F566=2,Game!$H$561,Game!$I$561))))</f>
        <v/>
      </c>
    </row>
    <row r="567" spans="1:9" x14ac:dyDescent="0.25">
      <c r="C567" t="str">
        <f t="shared" ca="1" si="62"/>
        <v>Elena</v>
      </c>
      <c r="D567">
        <f t="shared" ca="1" si="63"/>
        <v>0.31857408619845717</v>
      </c>
      <c r="E567" t="str">
        <f ca="1">INDEX(C563:C576,MATCH(SMALL(D563:D576,3),D563:D576,0))</f>
        <v>Christmas</v>
      </c>
      <c r="F567">
        <f t="shared" ca="1" si="64"/>
        <v>1</v>
      </c>
      <c r="G567" t="str">
        <f t="shared" ca="1" si="65"/>
        <v/>
      </c>
      <c r="H567" t="str">
        <f ca="1">IF(G567="","",IF($I$26="On",INDEX(Sheet4!$B$161:$R$161,MATCH(Game!E567,Sheet4!$B$157:$R$157,0)),IF(Game!F567=1,Game!$G$561,IF(Game!F567=2,Game!$H$561,Game!$I$561))))</f>
        <v/>
      </c>
    </row>
    <row r="568" spans="1:9" x14ac:dyDescent="0.25">
      <c r="C568" t="str">
        <f t="shared" ca="1" si="62"/>
        <v>Jason</v>
      </c>
      <c r="D568">
        <f t="shared" ca="1" si="63"/>
        <v>0.62282331368753907</v>
      </c>
      <c r="E568" t="str">
        <f ca="1">INDEX(C563:C576,MATCH(SMALL(D563:D576,4),D563:D576,0))</f>
        <v>Elena</v>
      </c>
      <c r="F568">
        <f t="shared" ca="1" si="64"/>
        <v>1</v>
      </c>
      <c r="G568" t="str">
        <f t="shared" ca="1" si="65"/>
        <v/>
      </c>
      <c r="H568" t="str">
        <f ca="1">IF(G568="","",IF($I$26="On",INDEX(Sheet4!$B$161:$R$161,MATCH(Game!E568,Sheet4!$B$157:$R$157,0)),IF(Game!F568=1,Game!$G$561,IF(Game!F568=2,Game!$H$561,Game!$I$561))))</f>
        <v/>
      </c>
    </row>
    <row r="569" spans="1:9" x14ac:dyDescent="0.25">
      <c r="C569" t="str">
        <f t="shared" ca="1" si="62"/>
        <v>Jessica</v>
      </c>
      <c r="D569">
        <f t="shared" ca="1" si="63"/>
        <v>0.59883618728330557</v>
      </c>
      <c r="E569" t="str">
        <f ca="1">INDEX(C563:C576,MATCH(SMALL(D563:D576,5),D563:D576,0))</f>
        <v>Josh</v>
      </c>
      <c r="F569">
        <f t="shared" ca="1" si="64"/>
        <v>1</v>
      </c>
      <c r="G569" t="str">
        <f t="shared" ca="1" si="65"/>
        <v/>
      </c>
      <c r="H569" t="str">
        <f ca="1">IF(G569="","",IF($I$26="On",INDEX(Sheet4!$B$161:$R$161,MATCH(Game!E569,Sheet4!$B$157:$R$157,0)),IF(Game!F569=1,Game!$G$561,IF(Game!F569=2,Game!$H$561,Game!$I$561))))</f>
        <v/>
      </c>
    </row>
    <row r="570" spans="1:9" x14ac:dyDescent="0.25">
      <c r="C570" t="str">
        <f t="shared" ca="1" si="62"/>
        <v>Jillian</v>
      </c>
      <c r="D570">
        <f t="shared" ca="1" si="63"/>
        <v>0.11488307652991769</v>
      </c>
      <c r="E570" t="str">
        <f ca="1">INDEX(C563:C576,MATCH(SMALL(D563:D576,6),D563:D576,0))</f>
        <v>Jessica</v>
      </c>
      <c r="F570">
        <f t="shared" ca="1" si="64"/>
        <v>1</v>
      </c>
      <c r="G570" t="str">
        <f t="shared" ca="1" si="65"/>
        <v/>
      </c>
      <c r="H570" t="str">
        <f ca="1">IF(G570="","",IF($I$26="On",INDEX(Sheet4!$B$161:$R$161,MATCH(Game!E570,Sheet4!$B$157:$R$157,0)),IF(Game!F570=1,Game!$G$561,IF(Game!F570=2,Game!$H$561,Game!$I$561))))</f>
        <v/>
      </c>
    </row>
    <row r="571" spans="1:9" x14ac:dyDescent="0.25">
      <c r="C571" t="str">
        <f t="shared" ca="1" si="62"/>
        <v>Josh</v>
      </c>
      <c r="D571">
        <f t="shared" ca="1" si="63"/>
        <v>0.47973617745053698</v>
      </c>
      <c r="E571" t="str">
        <f ca="1">INDEX(C563:C576,MATCH(SMALL(D563:D576,7),D563:D576,0))</f>
        <v>Jason</v>
      </c>
      <c r="F571">
        <f t="shared" ca="1" si="64"/>
        <v>2</v>
      </c>
      <c r="G571" t="str">
        <f t="shared" ca="1" si="65"/>
        <v/>
      </c>
      <c r="H571" t="str">
        <f ca="1">IF(G571="","",IF($I$26="On",INDEX(Sheet4!$B$161:$R$161,MATCH(Game!E571,Sheet4!$B$157:$R$157,0)),IF(Game!F571=1,Game!$G$561,IF(Game!F571=2,Game!$H$561,Game!$I$561))))</f>
        <v/>
      </c>
    </row>
    <row r="572" spans="1:9" x14ac:dyDescent="0.25">
      <c r="C572" t="str">
        <f t="shared" ca="1" si="62"/>
        <v>Mark</v>
      </c>
      <c r="D572" t="str">
        <f t="shared" ca="1" si="63"/>
        <v/>
      </c>
      <c r="E572" t="str">
        <f ca="1">INDEX(C563:C576,MATCH(SMALL(D563:D576,8),D563:D576,0))</f>
        <v>Raven</v>
      </c>
      <c r="F572">
        <f t="shared" ca="1" si="64"/>
        <v>1</v>
      </c>
      <c r="G572" t="str">
        <f t="shared" ca="1" si="65"/>
        <v/>
      </c>
      <c r="H572" t="str">
        <f ca="1">IF(G572="","",IF($I$26="On",INDEX(Sheet4!$B$161:$R$161,MATCH(Game!E572,Sheet4!$B$157:$R$157,0)),IF(Game!F572=1,Game!$G$561,IF(Game!F572=2,Game!$H$561,Game!$I$561))))</f>
        <v/>
      </c>
    </row>
    <row r="573" spans="1:9" x14ac:dyDescent="0.25">
      <c r="C573" t="str">
        <f t="shared" ca="1" si="62"/>
        <v>Matt</v>
      </c>
      <c r="D573">
        <f t="shared" ca="1" si="63"/>
        <v>0.8099663043702503</v>
      </c>
      <c r="E573" t="str">
        <f ca="1">INDEX(C563:C576,MATCH(SMALL(D563:D576,9),D563:D576,0))</f>
        <v>Matt</v>
      </c>
      <c r="F573">
        <f t="shared" ca="1" si="64"/>
        <v>1</v>
      </c>
      <c r="G573" t="str">
        <f t="shared" ca="1" si="65"/>
        <v/>
      </c>
      <c r="H573" t="str">
        <f ca="1">IF(G573="","",IF($I$26="On",INDEX(Sheet4!$B$161:$R$161,MATCH(Game!E573,Sheet4!$B$157:$R$157,0)),IF(Game!F573=1,Game!$G$561,IF(Game!F573=2,Game!$H$561,Game!$I$561))))</f>
        <v/>
      </c>
    </row>
    <row r="574" spans="1:9" x14ac:dyDescent="0.25">
      <c r="C574" t="str">
        <f t="shared" ca="1" si="62"/>
        <v>Ramses</v>
      </c>
      <c r="D574" t="str">
        <f t="shared" ca="1" si="63"/>
        <v/>
      </c>
      <c r="E574" t="str">
        <f ca="1">IF(I561="",INDEX(C563:C576,MATCH(SMALL(D563:D576,10),D563:D576,0)),"")</f>
        <v>Cody</v>
      </c>
      <c r="F574">
        <f ca="1">IF($I$561="",RANDBETWEEN(1,2),"")</f>
        <v>2</v>
      </c>
      <c r="G574" t="str">
        <f ca="1">IF(E574="","",IF(G573="","",E574&amp;"-"))</f>
        <v/>
      </c>
      <c r="H574" t="str">
        <f ca="1">IF(G574="","",IF($I$26="On",INDEX(Sheet4!$B$161:$R$161,MATCH(Game!E574,Sheet4!$B$157:$R$157,0)),IF(Game!F574=1,Game!$G$561,IF(Game!F574=2,Game!$H$561,Game!$I$561))))</f>
        <v/>
      </c>
    </row>
    <row r="575" spans="1:9" x14ac:dyDescent="0.25">
      <c r="C575" t="str">
        <f t="shared" ca="1" si="62"/>
        <v>Raven</v>
      </c>
      <c r="D575">
        <f t="shared" ca="1" si="63"/>
        <v>0.63380524941834648</v>
      </c>
    </row>
    <row r="576" spans="1:9" x14ac:dyDescent="0.25">
      <c r="G576" t="str">
        <f ca="1">IF(E580&gt;=2,"We have a tie!","")</f>
        <v/>
      </c>
    </row>
    <row r="577" spans="5:8" x14ac:dyDescent="0.25">
      <c r="E577" t="str">
        <f ca="1">G561</f>
        <v>Cameron</v>
      </c>
      <c r="F577">
        <f ca="1">IF($I$26="On",COUNTIF(H564:H574,E577)+INDEX(A495:A507,MATCH(E577,B495:B507,0))/220,COUNTIF(H564:H574,E577)+RAND()/2.2)</f>
        <v>3.2271913234347603E-2</v>
      </c>
      <c r="G577" t="str">
        <f ca="1">IF(G576="","",F561&amp;", the HOH, will break the tie")</f>
        <v/>
      </c>
    </row>
    <row r="578" spans="5:8" x14ac:dyDescent="0.25">
      <c r="E578" t="str">
        <f ca="1">H561</f>
        <v>Mark</v>
      </c>
      <c r="F578">
        <f ca="1">IF($I$26="On",COUNTIF(H564:H574,E578)+INDEX(A495:A507,MATCH(E578,B495:B507,0))/220,COUNTIF(H564:H574,E578)+RAND()/2.2)</f>
        <v>7.2951980840067265E-2</v>
      </c>
      <c r="G578" t="str">
        <f ca="1">IF(G577="","",F561&amp;"-")</f>
        <v/>
      </c>
      <c r="H578" t="str">
        <f ca="1">IF(G578="","",E581)</f>
        <v/>
      </c>
    </row>
    <row r="579" spans="5:8" x14ac:dyDescent="0.25">
      <c r="E579" t="str">
        <f ca="1">I561</f>
        <v/>
      </c>
      <c r="F579" t="str">
        <f ca="1">IF(E579="","",IF($I$26="On",COUNTIF(H564:H574,E579)+INDEX(A495:A507,MATCH(E579,B495:B507,0))/220,COUNTIF(H564:H574,E579)+RAND()/2.2))</f>
        <v/>
      </c>
    </row>
    <row r="580" spans="5:8" x14ac:dyDescent="0.25">
      <c r="E580">
        <f ca="1">IF(E561="Halt",1,COUNTIF(F580:F582,F580))</f>
        <v>1</v>
      </c>
      <c r="F580">
        <f ca="1">ROUND(LARGE(F577:F579,1),0)</f>
        <v>0</v>
      </c>
      <c r="G580" t="str">
        <f ca="1">IF(F588="","","With "&amp;ROUND(SMALL(F586:F588,1),0)&amp;IF(ROUND(SMALL(F586:F588,1),0)=1," vote"," votes"))</f>
        <v/>
      </c>
    </row>
    <row r="581" spans="5:8" x14ac:dyDescent="0.25">
      <c r="E581" t="str">
        <f ca="1">IF(E580=3,INDEX(E577:E579,MATCH(SMALL(F577:F579,1),F577:F579,0)),INDEX(E577:E579,MATCH(LARGE(F577:F579,2),F577:F579,0)))</f>
        <v>Cameron</v>
      </c>
      <c r="F581">
        <f ca="1">ROUND(LARGE(F577:F579,2),0)</f>
        <v>0</v>
      </c>
      <c r="G581" t="str">
        <f ca="1">IF(G580="","",INDEX(E583:E585,MATCH(SMALL(F583:F585,1),F583:F585,0)))</f>
        <v/>
      </c>
    </row>
    <row r="582" spans="5:8" x14ac:dyDescent="0.25">
      <c r="F582" t="str">
        <f ca="1">IF(F579="","",ROUND(LARGE(F577:F579,3),0))</f>
        <v/>
      </c>
      <c r="G582" t="str">
        <f ca="1">IF(G581="","","You are safe")</f>
        <v/>
      </c>
    </row>
    <row r="583" spans="5:8" x14ac:dyDescent="0.25">
      <c r="E583" t="str">
        <f ca="1">E577</f>
        <v>Cameron</v>
      </c>
      <c r="F583">
        <f ca="1">COUNTIF(H565:H579,E583)+RAND()/2.2</f>
        <v>0.18395089849324281</v>
      </c>
    </row>
    <row r="584" spans="5:8" x14ac:dyDescent="0.25">
      <c r="E584" t="str">
        <f ca="1">E578</f>
        <v>Mark</v>
      </c>
      <c r="F584">
        <f ca="1">COUNTIF(H565:H579,E584)+RAND()/2.2</f>
        <v>0.13889222658255504</v>
      </c>
      <c r="G584" t="str">
        <f ca="1">IF(G565="","","By a vote of "&amp;ROUND(LARGE(F583:F585,1),0)&amp;"-"&amp;ROUND(LARGE(F583:F585,2),0))</f>
        <v/>
      </c>
    </row>
    <row r="585" spans="5:8" x14ac:dyDescent="0.25">
      <c r="E585" t="str">
        <f ca="1">E579</f>
        <v/>
      </c>
      <c r="F585" t="str">
        <f ca="1">IF(E585="","",COUNTIF(H565:H579,E585)+RAND()/2.2)</f>
        <v/>
      </c>
      <c r="G585" t="str">
        <f ca="1">IF(G565="","",INDEX(E583:E585,MATCH(LARGE(F583:F585,1),F583:F585,0)))</f>
        <v/>
      </c>
    </row>
    <row r="586" spans="5:8" x14ac:dyDescent="0.25">
      <c r="F586">
        <f ca="1">ROUND(LARGE(F583:F585,1),0)</f>
        <v>0</v>
      </c>
      <c r="G586" t="str">
        <f ca="1">IF(G565="","","You have been evicted from the Big Brother House")</f>
        <v/>
      </c>
    </row>
    <row r="587" spans="5:8" x14ac:dyDescent="0.25">
      <c r="F587">
        <f ca="1">ROUND(LARGE(F583:F585,2),0)</f>
        <v>0</v>
      </c>
    </row>
    <row r="588" spans="5:8" x14ac:dyDescent="0.25">
      <c r="F588" t="str">
        <f ca="1">IF(E561="Halt","",IF(F585="","",ROUND(LARGE(F583:F585,3),0)))</f>
        <v/>
      </c>
      <c r="G588" t="str">
        <f ca="1">IF(F588="","",F586&amp;"-"&amp;F587&amp;"-"&amp;F588)</f>
        <v/>
      </c>
    </row>
    <row r="590" spans="5:8" x14ac:dyDescent="0.25">
      <c r="G590" s="2" t="s">
        <v>84</v>
      </c>
    </row>
    <row r="591" spans="5:8" x14ac:dyDescent="0.25">
      <c r="G591" t="s">
        <v>153</v>
      </c>
    </row>
    <row r="592" spans="5:8" x14ac:dyDescent="0.25">
      <c r="G592" t="str">
        <f ca="1">"That means the immunity of "&amp;G261&amp;" is now over"</f>
        <v>That means the immunity of Jason is now over</v>
      </c>
    </row>
    <row r="594" spans="1:12" x14ac:dyDescent="0.25">
      <c r="G594" s="2" t="s">
        <v>154</v>
      </c>
    </row>
    <row r="595" spans="1:12" x14ac:dyDescent="0.25">
      <c r="A595" t="str">
        <f ca="1">IF(A526=G585,A527,A526)</f>
        <v>Alex</v>
      </c>
      <c r="B595">
        <f ca="1">RAND()</f>
        <v>0.83960215666127391</v>
      </c>
      <c r="C595" t="str">
        <f ca="1">C466</f>
        <v>Raven</v>
      </c>
      <c r="D595" t="str">
        <f ca="1">D466</f>
        <v>Josh</v>
      </c>
      <c r="E595" t="str">
        <f ca="1">H490</f>
        <v>Ramses</v>
      </c>
      <c r="G595" s="16" t="str">
        <f ca="1">A595</f>
        <v>Alex</v>
      </c>
      <c r="H595" s="16" t="str">
        <f ca="1">A596</f>
        <v>Cameron</v>
      </c>
      <c r="I595" s="16" t="str">
        <f ca="1">A597</f>
        <v>Christmas</v>
      </c>
      <c r="J595" s="16" t="str">
        <f ca="1">A598</f>
        <v>Cody</v>
      </c>
      <c r="K595" s="16" t="str">
        <f ca="1">A599</f>
        <v>Elena</v>
      </c>
      <c r="L595" s="28"/>
    </row>
    <row r="596" spans="1:12" x14ac:dyDescent="0.25">
      <c r="A596" t="str">
        <f t="shared" ref="A596:A606" ca="1" si="66">IF(A595=A527,A528,IF(A527=$G$585,A528,A527))</f>
        <v>Cameron</v>
      </c>
      <c r="B596">
        <f t="shared" ref="B596:B606" ca="1" si="67">RAND()</f>
        <v>0.19121020736551464</v>
      </c>
      <c r="C596" t="str">
        <f ca="1">C467</f>
        <v>Christmas</v>
      </c>
      <c r="D596" t="str">
        <f ca="1">D467</f>
        <v>Christmas</v>
      </c>
      <c r="E596" t="str">
        <f ca="1">H547</f>
        <v>Elena</v>
      </c>
      <c r="G596" s="24" t="str">
        <f ca="1">IF(COUNTIF($C$595:$E$595,G595)=0,"","HOH - "&amp;COUNTIF($C$595:$E$595,G595))</f>
        <v/>
      </c>
      <c r="H596" s="24" t="str">
        <f ca="1">IF(COUNTIF($C$595:$E$595,H595)=0,"","HOH - "&amp;COUNTIF($C$595:$E$595,H595))</f>
        <v/>
      </c>
      <c r="I596" s="24" t="str">
        <f ca="1">IF(COUNTIF($C$595:$E$595,I595)=0,"","HOH - "&amp;COUNTIF($C$595:$E$595,I595))</f>
        <v/>
      </c>
      <c r="J596" s="24" t="str">
        <f ca="1">IF(COUNTIF($C$595:$E$595,J595)=0,"","HOH - "&amp;COUNTIF($C$595:$E$595,J595))</f>
        <v/>
      </c>
      <c r="K596" s="24" t="str">
        <f ca="1">IF(COUNTIF($C$595:$E$595,K595)=0,"","HOH - "&amp;COUNTIF($C$595:$E$595,K595))</f>
        <v/>
      </c>
      <c r="L596" s="28"/>
    </row>
    <row r="597" spans="1:12" x14ac:dyDescent="0.25">
      <c r="A597" t="str">
        <f t="shared" ca="1" si="66"/>
        <v>Christmas</v>
      </c>
      <c r="B597">
        <f t="shared" ca="1" si="67"/>
        <v>0.68598068358459396</v>
      </c>
      <c r="G597" s="24" t="str">
        <f ca="1">IF(COUNTIF($C$596:$E$596,G595)=0,"","POV - "&amp;COUNTIF($C$596:$E$596,G595))</f>
        <v/>
      </c>
      <c r="H597" s="24" t="str">
        <f ca="1">IF(COUNTIF($C$596:$E$596,H595)=0,"","POV - "&amp;COUNTIF($C$596:$E$596,H595))</f>
        <v/>
      </c>
      <c r="I597" s="24" t="str">
        <f ca="1">IF(COUNTIF($C$596:$E$596,I595)=0,"","POV - "&amp;COUNTIF($C$596:$E$596,I595))</f>
        <v>POV - 2</v>
      </c>
      <c r="J597" s="24" t="str">
        <f ca="1">IF(COUNTIF($C$596:$E$596,J595)=0,"","POV - "&amp;COUNTIF($C$596:$E$596,J595))</f>
        <v/>
      </c>
      <c r="K597" s="24" t="str">
        <f ca="1">IF(COUNTIF($C$596:$E$596,K595)=0,"","POV - "&amp;COUNTIF($C$596:$E$596,K595))</f>
        <v>POV - 1</v>
      </c>
      <c r="L597" s="28"/>
    </row>
    <row r="598" spans="1:12" x14ac:dyDescent="0.25">
      <c r="A598" t="str">
        <f t="shared" ca="1" si="66"/>
        <v>Cody</v>
      </c>
      <c r="B598">
        <f t="shared" ca="1" si="67"/>
        <v>0.75586472335111154</v>
      </c>
      <c r="G598" s="16" t="str">
        <f ca="1">A600</f>
        <v>Jason</v>
      </c>
      <c r="H598" s="16" t="str">
        <f ca="1">A601</f>
        <v>Jessica</v>
      </c>
      <c r="I598" s="16" t="str">
        <f ca="1">A602</f>
        <v>Jillian</v>
      </c>
      <c r="J598" s="16" t="str">
        <f ca="1">A603</f>
        <v>Josh</v>
      </c>
      <c r="K598" s="16" t="str">
        <f ca="1">A604</f>
        <v>Mark</v>
      </c>
      <c r="L598" s="16" t="str">
        <f ca="1">A605</f>
        <v>Matt</v>
      </c>
    </row>
    <row r="599" spans="1:12" x14ac:dyDescent="0.25">
      <c r="A599" t="str">
        <f t="shared" ca="1" si="66"/>
        <v>Elena</v>
      </c>
      <c r="B599">
        <f t="shared" ca="1" si="67"/>
        <v>0.87518290836119905</v>
      </c>
      <c r="G599" s="24" t="str">
        <f t="shared" ref="G599:L599" ca="1" si="68">IF(COUNTIF($C$595:$E$595,G598)=0,"","HOH - "&amp;COUNTIF($C$595:$E$595,G598))</f>
        <v/>
      </c>
      <c r="H599" s="24" t="str">
        <f t="shared" ca="1" si="68"/>
        <v/>
      </c>
      <c r="I599" s="24" t="str">
        <f t="shared" ca="1" si="68"/>
        <v/>
      </c>
      <c r="J599" s="24" t="str">
        <f t="shared" ca="1" si="68"/>
        <v>HOH - 1</v>
      </c>
      <c r="K599" s="24" t="str">
        <f t="shared" ca="1" si="68"/>
        <v/>
      </c>
      <c r="L599" s="24" t="str">
        <f t="shared" ca="1" si="68"/>
        <v/>
      </c>
    </row>
    <row r="600" spans="1:12" x14ac:dyDescent="0.25">
      <c r="A600" t="str">
        <f t="shared" ca="1" si="66"/>
        <v>Jason</v>
      </c>
      <c r="B600">
        <f t="shared" ca="1" si="67"/>
        <v>0.63872592060575828</v>
      </c>
      <c r="G600" s="24" t="str">
        <f t="shared" ref="G600:L600" ca="1" si="69">IF(COUNTIF($C$596:$E$596,G598)=0,"","POV - "&amp;COUNTIF($C$596:$E$596,G598))</f>
        <v/>
      </c>
      <c r="H600" s="24" t="str">
        <f t="shared" ca="1" si="69"/>
        <v/>
      </c>
      <c r="I600" s="24" t="str">
        <f t="shared" ca="1" si="69"/>
        <v/>
      </c>
      <c r="J600" s="24" t="str">
        <f t="shared" ca="1" si="69"/>
        <v/>
      </c>
      <c r="K600" s="24" t="str">
        <f t="shared" ca="1" si="69"/>
        <v/>
      </c>
      <c r="L600" s="24" t="str">
        <f t="shared" ca="1" si="69"/>
        <v/>
      </c>
    </row>
    <row r="601" spans="1:12" x14ac:dyDescent="0.25">
      <c r="A601" t="str">
        <f t="shared" ca="1" si="66"/>
        <v>Jessica</v>
      </c>
      <c r="B601">
        <f t="shared" ca="1" si="67"/>
        <v>0.41637824721976802</v>
      </c>
      <c r="G601" s="16" t="str">
        <f ca="1">A606</f>
        <v>Ramses</v>
      </c>
      <c r="H601" s="16" t="str">
        <f ca="1">IF(A607="",G585,A607)</f>
        <v>Raven</v>
      </c>
      <c r="I601" s="19" t="str">
        <f ca="1">I472</f>
        <v>Paul</v>
      </c>
      <c r="J601" s="19" t="str">
        <f ca="1">J472</f>
        <v>Megan</v>
      </c>
      <c r="K601" s="30" t="str">
        <f ca="1">K472</f>
        <v>Kevin</v>
      </c>
      <c r="L601" s="19" t="str">
        <f ca="1">L472</f>
        <v>Dominique</v>
      </c>
    </row>
    <row r="602" spans="1:12" x14ac:dyDescent="0.25">
      <c r="A602" t="str">
        <f t="shared" ca="1" si="66"/>
        <v>Jillian</v>
      </c>
      <c r="B602">
        <f t="shared" ca="1" si="67"/>
        <v>0.90395640929094057</v>
      </c>
      <c r="G602" s="24" t="str">
        <f ca="1">IF(COUNTIF($C$595:$E$595,G601)=0,"","HOH - "&amp;COUNTIF($C$595:$E$595,G601))</f>
        <v>HOH - 1</v>
      </c>
      <c r="H602" s="24" t="str">
        <f ca="1">IF(COUNTIF($C$595:$E$595,H601)=0,"","HOH - "&amp;COUNTIF($C$595:$E$595,H601))</f>
        <v>HOH - 1</v>
      </c>
      <c r="I602" s="31" t="str">
        <f ca="1">IF(COUNTIF($C$595:$E$595,I601)=0,"","HOH - "&amp;COUNTIF($C$595:$E$595,I601))</f>
        <v/>
      </c>
      <c r="J602" s="31"/>
      <c r="K602" s="32"/>
      <c r="L602" s="31"/>
    </row>
    <row r="603" spans="1:12" x14ac:dyDescent="0.25">
      <c r="A603" t="str">
        <f t="shared" ca="1" si="66"/>
        <v>Josh</v>
      </c>
      <c r="B603">
        <f t="shared" ca="1" si="67"/>
        <v>0.94458440803776389</v>
      </c>
      <c r="G603" s="26" t="str">
        <f ca="1">IF(COUNTIF($C$596:$E$596,G601)=0,"","POV - "&amp;COUNTIF($C$596:$E$596,G601))</f>
        <v/>
      </c>
      <c r="H603" s="26" t="str">
        <f ca="1">IF(COUNTIF($C$596:$E$596,H601)=0,"","POV - "&amp;COUNTIF($C$596:$E$596,H601))</f>
        <v/>
      </c>
      <c r="I603" s="33" t="str">
        <f ca="1">IF(COUNTIF($C$596:$E$596,I601)=0,"","POV - "&amp;COUNTIF($C$596:$E$596,I601))</f>
        <v/>
      </c>
      <c r="J603" s="33"/>
      <c r="K603" s="34"/>
      <c r="L603" s="33"/>
    </row>
    <row r="604" spans="1:12" x14ac:dyDescent="0.25">
      <c r="A604" t="str">
        <f t="shared" ca="1" si="66"/>
        <v>Mark</v>
      </c>
      <c r="B604">
        <f t="shared" ca="1" si="67"/>
        <v>0.20602328327661967</v>
      </c>
    </row>
    <row r="605" spans="1:12" x14ac:dyDescent="0.25">
      <c r="A605" t="str">
        <f t="shared" ca="1" si="66"/>
        <v>Matt</v>
      </c>
      <c r="B605">
        <f t="shared" ca="1" si="67"/>
        <v>3.5301109417664733E-2</v>
      </c>
      <c r="G605" s="2" t="s">
        <v>23</v>
      </c>
    </row>
    <row r="606" spans="1:12" x14ac:dyDescent="0.25">
      <c r="A606" t="str">
        <f t="shared" ca="1" si="66"/>
        <v>Ramses</v>
      </c>
      <c r="B606">
        <f t="shared" ca="1" si="67"/>
        <v>0.65128370574227934</v>
      </c>
      <c r="G606" t="str">
        <f ca="1">"A rejoin is happening between the first "&amp;IF(A607="",4,3)&amp;" evicted houseguests"</f>
        <v>A rejoin is happening between the first 3 evicted houseguests</v>
      </c>
    </row>
    <row r="607" spans="1:12" x14ac:dyDescent="0.25">
      <c r="A607" t="str">
        <f ca="1">IF(A606=A538,"",IF(A538=$G$585,"",A538))</f>
        <v>Raven</v>
      </c>
      <c r="B607">
        <f ca="1">IF(A607="","",RAND())</f>
        <v>0.3511584604695257</v>
      </c>
    </row>
    <row r="608" spans="1:12" x14ac:dyDescent="0.25">
      <c r="G608" s="2" t="s">
        <v>155</v>
      </c>
    </row>
    <row r="609" spans="1:10" x14ac:dyDescent="0.25">
      <c r="A609" t="str">
        <f ca="1">L601</f>
        <v>Dominique</v>
      </c>
      <c r="B609">
        <f ca="1">COUNTIF($A$609:$A$612,"&lt;="&amp;A609)</f>
        <v>2</v>
      </c>
      <c r="C609">
        <f ca="1">RAND()</f>
        <v>0.94878189576582084</v>
      </c>
      <c r="D609" t="str">
        <f ca="1">G612</f>
        <v>Dominique</v>
      </c>
      <c r="E609">
        <f ca="1">COUNTIF(D609:D610,"&lt;="&amp;D609)</f>
        <v>1</v>
      </c>
      <c r="F609">
        <f ca="1">RAND()</f>
        <v>0.59367482121303761</v>
      </c>
      <c r="G609" s="29" t="str">
        <f ca="1">INDEX(A609:A612,MATCH(SMALL(B609:B612,1),B609:B612,0))</f>
        <v>Dominique</v>
      </c>
      <c r="H609" s="29" t="str">
        <f ca="1">INDEX(A609:A612,MATCH(SMALL(B609:B612,2),B609:B612,0))</f>
        <v>Megan</v>
      </c>
      <c r="I609" s="29" t="str">
        <f ca="1">INDEX(A609:A612,MATCH(SMALL(B609:B612,3),B609:B612,0))</f>
        <v>Paul</v>
      </c>
      <c r="J609" s="29" t="str">
        <f ca="1">IF(A612="","",INDEX(A609:A612,MATCH(SMALL(B609:B612,4),B609:B612,0)))</f>
        <v/>
      </c>
    </row>
    <row r="610" spans="1:10" x14ac:dyDescent="0.25">
      <c r="A610" t="str">
        <f ca="1">J601</f>
        <v>Megan</v>
      </c>
      <c r="B610">
        <f ca="1">COUNTIF($A$609:$A$612,"&lt;="&amp;A610)</f>
        <v>3</v>
      </c>
      <c r="C610">
        <f ca="1">RAND()</f>
        <v>0.84632451053418123</v>
      </c>
      <c r="D610" t="str">
        <f ca="1">G614</f>
        <v>Megan</v>
      </c>
      <c r="E610">
        <f ca="1">COUNTIF(D609:D610,"&lt;="&amp;D610)</f>
        <v>2</v>
      </c>
      <c r="F610">
        <f ca="1">RAND()</f>
        <v>0.68892906732378001</v>
      </c>
    </row>
    <row r="611" spans="1:10" x14ac:dyDescent="0.25">
      <c r="A611" t="str">
        <f ca="1">I601</f>
        <v>Paul</v>
      </c>
      <c r="B611">
        <f ca="1">COUNTIF($A$609:$A$612,"&lt;="&amp;A611)</f>
        <v>4</v>
      </c>
      <c r="C611">
        <f ca="1">RAND()</f>
        <v>0.79237673690839716</v>
      </c>
      <c r="D611" t="str">
        <f ca="1">INDEX(A609:A612,MATCH(LARGE(C609:C612,3),C609:C612,0))</f>
        <v>Paul</v>
      </c>
      <c r="E611">
        <f ca="1">COUNTIF(D611:D612,"&lt;="&amp;D611)</f>
        <v>2</v>
      </c>
      <c r="G611" t="s">
        <v>156</v>
      </c>
    </row>
    <row r="612" spans="1:10" x14ac:dyDescent="0.25">
      <c r="A612" t="str">
        <f ca="1">IF(A607="",H601,"")</f>
        <v/>
      </c>
      <c r="B612" t="str">
        <f ca="1">IF(A612="","",COUNTIF($A$609:$A$612,"&lt;="&amp;A612))</f>
        <v/>
      </c>
      <c r="C612" t="str">
        <f ca="1">IF(A612="","",RAND())</f>
        <v/>
      </c>
      <c r="D612" t="str">
        <f ca="1">IF(A612="","",INDEX(A609:A612,MATCH(LARGE(C609:C612,4),C609:C612,0)))</f>
        <v/>
      </c>
      <c r="E612" t="str">
        <f ca="1">IF(D612="","",COUNTIF(D611:D612,"&lt;="&amp;D612))</f>
        <v/>
      </c>
      <c r="G612" t="str">
        <f ca="1">INDEX(A609:A612,MATCH(LARGE(C609:C612,1),C609:C612,0))</f>
        <v>Dominique</v>
      </c>
    </row>
    <row r="613" spans="1:10" x14ac:dyDescent="0.25">
      <c r="F613" t="str">
        <f ca="1">INDEX(D611:D612,MATCH(SMALL(E611:E612,1),E611:E612,0))</f>
        <v>Paul</v>
      </c>
      <c r="G613" t="s">
        <v>157</v>
      </c>
    </row>
    <row r="614" spans="1:10" x14ac:dyDescent="0.25">
      <c r="F614" t="str">
        <f ca="1">IF(D612="","",INDEX(D611:D612,MATCH(SMALL(E611:E612,2),E611:E612,0)))</f>
        <v/>
      </c>
      <c r="G614" t="str">
        <f ca="1">INDEX(A609:A612,MATCH(LARGE(C609:C612,2),C609:C612,0))</f>
        <v>Megan</v>
      </c>
    </row>
    <row r="616" spans="1:10" x14ac:dyDescent="0.25">
      <c r="G616" t="str">
        <f ca="1">"That means "&amp;F613&amp;IF(F614=""," is out"," and "&amp;F614&amp;" are out")</f>
        <v>That means Paul is out</v>
      </c>
    </row>
    <row r="618" spans="1:10" x14ac:dyDescent="0.25">
      <c r="G618" s="2" t="s">
        <v>158</v>
      </c>
    </row>
    <row r="619" spans="1:10" x14ac:dyDescent="0.25">
      <c r="G619" s="29" t="str">
        <f ca="1">INDEX(D609:D610,MATCH(1,E609:E610,0))</f>
        <v>Dominique</v>
      </c>
      <c r="H619" s="29" t="str">
        <f ca="1">INDEX(D609:D610,MATCH(2,E609:E610,0))</f>
        <v>Megan</v>
      </c>
    </row>
    <row r="621" spans="1:10" x14ac:dyDescent="0.25">
      <c r="G621" t="s">
        <v>159</v>
      </c>
    </row>
    <row r="622" spans="1:10" x14ac:dyDescent="0.25">
      <c r="G622" t="str">
        <f ca="1">INDEX(D609:D610,MATCH(LARGE(F609:F610,1),F609:F610,0))</f>
        <v>Megan</v>
      </c>
    </row>
    <row r="624" spans="1:10" x14ac:dyDescent="0.25">
      <c r="G624" t="str">
        <f ca="1">"That means "&amp;INDEX(D609:D610,MATCH(LARGE(F609:F610,2),F609:F610,0))&amp;" is out"</f>
        <v>That means Dominique is out</v>
      </c>
    </row>
    <row r="626" spans="1:12" x14ac:dyDescent="0.25">
      <c r="G626" s="2" t="s">
        <v>160</v>
      </c>
    </row>
    <row r="627" spans="1:12" x14ac:dyDescent="0.25">
      <c r="A627" t="str">
        <f t="shared" ref="A627:A639" ca="1" si="70">A595</f>
        <v>Alex</v>
      </c>
      <c r="B627">
        <f t="shared" ref="B627:B638" ca="1" si="71">COUNTIF($A$627:$A$640,"&lt;="&amp;A627)</f>
        <v>1</v>
      </c>
      <c r="C627" t="str">
        <f ca="1">INDEX(A627:A640,MATCH(SMALL(B627:B640,1),B627:B640,0))</f>
        <v>Alex</v>
      </c>
      <c r="D627" t="str">
        <f ca="1">L601</f>
        <v>Dominique</v>
      </c>
      <c r="E627" t="str">
        <f ca="1">IF(D627=G627,D628,D627)</f>
        <v>Dominique</v>
      </c>
      <c r="G627" s="29" t="str">
        <f ca="1">G622</f>
        <v>Megan</v>
      </c>
    </row>
    <row r="628" spans="1:12" x14ac:dyDescent="0.25">
      <c r="A628" t="str">
        <f t="shared" ca="1" si="70"/>
        <v>Cameron</v>
      </c>
      <c r="B628">
        <f t="shared" ca="1" si="71"/>
        <v>2</v>
      </c>
      <c r="C628" t="str">
        <f ca="1">INDEX(A627:A640,MATCH(SMALL(B627:B640,2),B627:B640,0))</f>
        <v>Cameron</v>
      </c>
      <c r="D628" t="str">
        <f ca="1">K601</f>
        <v>Kevin</v>
      </c>
      <c r="E628" t="str">
        <f ca="1">IF(E627=D628,D629,IF(D628=$G$627,D629,D628))</f>
        <v>Kevin</v>
      </c>
    </row>
    <row r="629" spans="1:12" x14ac:dyDescent="0.25">
      <c r="A629" t="str">
        <f t="shared" ca="1" si="70"/>
        <v>Christmas</v>
      </c>
      <c r="B629">
        <f t="shared" ca="1" si="71"/>
        <v>3</v>
      </c>
      <c r="C629" t="str">
        <f ca="1">INDEX(A627:A640,MATCH(SMALL(B627:B640,3),B627:B640,0))</f>
        <v>Christmas</v>
      </c>
      <c r="D629" t="str">
        <f ca="1">J601</f>
        <v>Megan</v>
      </c>
      <c r="E629" t="str">
        <f ca="1">IF(E628=D629,D630,IF(D629=$G$627,D630,D629))</f>
        <v>Paul</v>
      </c>
      <c r="G629" t="str">
        <f ca="1">"For this round, "&amp;G627&amp;" will verse a houseguest still in voted by the house"</f>
        <v>For this round, Megan will verse a houseguest still in voted by the house</v>
      </c>
    </row>
    <row r="630" spans="1:12" x14ac:dyDescent="0.25">
      <c r="A630" t="str">
        <f t="shared" ca="1" si="70"/>
        <v>Cody</v>
      </c>
      <c r="B630">
        <f t="shared" ca="1" si="71"/>
        <v>4</v>
      </c>
      <c r="C630" t="str">
        <f ca="1">INDEX(A627:A640,MATCH(SMALL(B627:B640,4),B627:B640,0))</f>
        <v>Cody</v>
      </c>
      <c r="D630" t="str">
        <f ca="1">I601</f>
        <v>Paul</v>
      </c>
      <c r="E630" t="str">
        <f ca="1">IF(E629=D630,D631,IF(D630=$G$627,D631,D630))</f>
        <v/>
      </c>
      <c r="G630" t="str">
        <f ca="1">G627&amp;" will verse…"</f>
        <v>Megan will verse…</v>
      </c>
    </row>
    <row r="631" spans="1:12" x14ac:dyDescent="0.25">
      <c r="A631" t="str">
        <f t="shared" ca="1" si="70"/>
        <v>Elena</v>
      </c>
      <c r="B631">
        <f t="shared" ca="1" si="71"/>
        <v>5</v>
      </c>
      <c r="C631" t="str">
        <f ca="1">INDEX(A627:A640,MATCH(SMALL(B627:B640,5),B627:B640,0))</f>
        <v>Elena</v>
      </c>
      <c r="D631" t="str">
        <f ca="1">IF(A607="",H601,"")</f>
        <v/>
      </c>
      <c r="G631" t="str">
        <f ca="1">INDEX(A595:A607,MATCH(LARGE(B595:B607,1),B595:B607,0))</f>
        <v>Josh</v>
      </c>
    </row>
    <row r="632" spans="1:12" x14ac:dyDescent="0.25">
      <c r="A632" t="str">
        <f t="shared" ca="1" si="70"/>
        <v>Jason</v>
      </c>
      <c r="B632">
        <f t="shared" ca="1" si="71"/>
        <v>6</v>
      </c>
      <c r="C632" t="str">
        <f ca="1">INDEX(A627:A640,MATCH(SMALL(B627:B640,6),B627:B640,0))</f>
        <v>Jason</v>
      </c>
    </row>
    <row r="633" spans="1:12" x14ac:dyDescent="0.25">
      <c r="A633" t="str">
        <f t="shared" ca="1" si="70"/>
        <v>Jessica</v>
      </c>
      <c r="B633">
        <f t="shared" ca="1" si="71"/>
        <v>7</v>
      </c>
      <c r="C633" t="str">
        <f ca="1">INDEX(A627:A640,MATCH(SMALL(B627:B640,7),B627:B640,0))</f>
        <v>Jessica</v>
      </c>
      <c r="G633" t="str">
        <f ca="1">G627&amp;" wins the competition!"</f>
        <v>Megan wins the competition!</v>
      </c>
    </row>
    <row r="634" spans="1:12" x14ac:dyDescent="0.25">
      <c r="A634" t="str">
        <f t="shared" ca="1" si="70"/>
        <v>Jillian</v>
      </c>
      <c r="B634">
        <f t="shared" ca="1" si="71"/>
        <v>8</v>
      </c>
      <c r="C634" t="str">
        <f ca="1">INDEX(A627:A640,MATCH(SMALL(B627:B640,8),B627:B640,0))</f>
        <v>Jillian</v>
      </c>
      <c r="G634" t="str">
        <f ca="1">G627&amp;" returns to the house!"</f>
        <v>Megan returns to the house!</v>
      </c>
    </row>
    <row r="635" spans="1:12" x14ac:dyDescent="0.25">
      <c r="A635" t="str">
        <f t="shared" ca="1" si="70"/>
        <v>Josh</v>
      </c>
      <c r="B635">
        <f t="shared" ca="1" si="71"/>
        <v>9</v>
      </c>
      <c r="C635" t="str">
        <f ca="1">INDEX(A627:A640,MATCH(SMALL(B627:B640,9),B627:B640,0))</f>
        <v>Josh</v>
      </c>
    </row>
    <row r="636" spans="1:12" x14ac:dyDescent="0.25">
      <c r="A636" t="str">
        <f t="shared" ca="1" si="70"/>
        <v>Mark</v>
      </c>
      <c r="B636">
        <f t="shared" ca="1" si="71"/>
        <v>10</v>
      </c>
      <c r="C636" t="str">
        <f ca="1">INDEX(A627:A640,MATCH(SMALL(B627:B640,10),B627:B640,0))</f>
        <v>Mark</v>
      </c>
      <c r="G636" s="2" t="s">
        <v>161</v>
      </c>
    </row>
    <row r="637" spans="1:12" x14ac:dyDescent="0.25">
      <c r="A637" t="str">
        <f t="shared" ca="1" si="70"/>
        <v>Matt</v>
      </c>
      <c r="B637">
        <f t="shared" ca="1" si="71"/>
        <v>11</v>
      </c>
      <c r="C637" t="str">
        <f ca="1">INDEX(A627:A640,MATCH(SMALL(B627:B640,11),B627:B640,0))</f>
        <v>Matt</v>
      </c>
      <c r="D637" t="str">
        <f t="shared" ref="D637:F638" ca="1" si="72">C595</f>
        <v>Raven</v>
      </c>
      <c r="E637" t="str">
        <f t="shared" ca="1" si="72"/>
        <v>Josh</v>
      </c>
      <c r="F637" t="str">
        <f t="shared" ca="1" si="72"/>
        <v>Ramses</v>
      </c>
      <c r="G637" s="16" t="str">
        <f ca="1">C627</f>
        <v>Alex</v>
      </c>
      <c r="H637" s="16" t="str">
        <f ca="1">C628</f>
        <v>Cameron</v>
      </c>
      <c r="I637" s="16" t="str">
        <f ca="1">C629</f>
        <v>Christmas</v>
      </c>
      <c r="J637" s="16" t="str">
        <f ca="1">C630</f>
        <v>Cody</v>
      </c>
      <c r="K637" s="16" t="str">
        <f ca="1">C631</f>
        <v>Elena</v>
      </c>
      <c r="L637" s="28"/>
    </row>
    <row r="638" spans="1:12" x14ac:dyDescent="0.25">
      <c r="A638" t="str">
        <f t="shared" ca="1" si="70"/>
        <v>Ramses</v>
      </c>
      <c r="B638">
        <f t="shared" ca="1" si="71"/>
        <v>13</v>
      </c>
      <c r="C638" t="str">
        <f ca="1">INDEX(A627:A640,MATCH(SMALL(B627:B640,12),B627:B640,0))</f>
        <v>Megan</v>
      </c>
      <c r="D638" t="str">
        <f t="shared" ca="1" si="72"/>
        <v>Christmas</v>
      </c>
      <c r="E638" t="str">
        <f t="shared" ca="1" si="72"/>
        <v>Christmas</v>
      </c>
      <c r="F638" t="str">
        <f t="shared" ca="1" si="72"/>
        <v>Elena</v>
      </c>
      <c r="G638" s="24" t="str">
        <f ca="1">IF(COUNTIF($D$637:$F$637,G637)=0,"","HOH - "&amp;COUNTIF($D$637:$F$637,G637))</f>
        <v/>
      </c>
      <c r="H638" s="24" t="str">
        <f ca="1">IF(COUNTIF($D$637:$F$637,H637)=0,"","HOH - "&amp;COUNTIF($D$637:$F$637,H637))</f>
        <v/>
      </c>
      <c r="I638" s="24" t="str">
        <f ca="1">IF(COUNTIF($D$637:$F$637,I637)=0,"","HOH - "&amp;COUNTIF($D$637:$F$637,I637))</f>
        <v/>
      </c>
      <c r="J638" s="24" t="str">
        <f ca="1">IF(COUNTIF($D$637:$F$637,J637)=0,"","HOH - "&amp;COUNTIF($D$637:$F$637,J637))</f>
        <v/>
      </c>
      <c r="K638" s="24" t="str">
        <f ca="1">IF(COUNTIF($D$637:$F$637,K637)=0,"","HOH - "&amp;COUNTIF($D$637:$F$637,K637))</f>
        <v/>
      </c>
      <c r="L638" s="28"/>
    </row>
    <row r="639" spans="1:12" x14ac:dyDescent="0.25">
      <c r="A639" t="str">
        <f t="shared" ca="1" si="70"/>
        <v>Raven</v>
      </c>
      <c r="B639">
        <f ca="1">IF(A639="","",COUNTIF($A$627:$A$640,"&lt;="&amp;A639))</f>
        <v>14</v>
      </c>
      <c r="C639" t="str">
        <f ca="1">INDEX(A627:A640,MATCH(SMALL(B627:B640,13),B627:B640,0))</f>
        <v>Ramses</v>
      </c>
      <c r="G639" s="24" t="str">
        <f ca="1">IF(COUNTIF($D$638:$F$638,G637)=0,"","POV - "&amp;COUNTIF($D$638:$F$638,G637))</f>
        <v/>
      </c>
      <c r="H639" s="24" t="str">
        <f ca="1">IF(COUNTIF($D$638:$F$638,H637)=0,"","POV - "&amp;COUNTIF($D$638:$F$638,H637))</f>
        <v/>
      </c>
      <c r="I639" s="24" t="str">
        <f ca="1">IF(COUNTIF($D$638:$F$638,I637)=0,"","POV - "&amp;COUNTIF($D$638:$F$638,I637))</f>
        <v>POV - 2</v>
      </c>
      <c r="J639" s="24" t="str">
        <f ca="1">IF(COUNTIF($D$638:$F$638,J637)=0,"","POV - "&amp;COUNTIF($D$638:$F$638,J637))</f>
        <v/>
      </c>
      <c r="K639" s="24" t="str">
        <f ca="1">IF(COUNTIF($D$638:$F$638,K637)=0,"","POV - "&amp;COUNTIF($D$638:$F$638,K637))</f>
        <v>POV - 1</v>
      </c>
      <c r="L639" s="28"/>
    </row>
    <row r="640" spans="1:12" x14ac:dyDescent="0.25">
      <c r="A640" t="str">
        <f ca="1">G627</f>
        <v>Megan</v>
      </c>
      <c r="B640">
        <f ca="1">COUNTIF($A$627:$A$640,"&lt;="&amp;A640)</f>
        <v>12</v>
      </c>
      <c r="C640" t="str">
        <f ca="1">IF(B639="","",INDEX(A627:A640,MATCH(SMALL(B627:B640,14),B627:B640,0)))</f>
        <v>Raven</v>
      </c>
      <c r="G640" s="16" t="str">
        <f ca="1">C632</f>
        <v>Jason</v>
      </c>
      <c r="H640" s="16" t="str">
        <f ca="1">C633</f>
        <v>Jessica</v>
      </c>
      <c r="I640" s="16" t="str">
        <f ca="1">C634</f>
        <v>Jillian</v>
      </c>
      <c r="J640" s="16" t="str">
        <f ca="1">C635</f>
        <v>Josh</v>
      </c>
      <c r="K640" s="16" t="str">
        <f ca="1">C636</f>
        <v>Mark</v>
      </c>
      <c r="L640" s="16" t="str">
        <f ca="1">C637</f>
        <v>Matt</v>
      </c>
    </row>
    <row r="641" spans="1:12" x14ac:dyDescent="0.25">
      <c r="G641" s="24" t="str">
        <f t="shared" ref="G641:L641" ca="1" si="73">IF(COUNTIF($D$637:$F$637,G640)=0,"","HOH - "&amp;COUNTIF($D$637:$F$637,G640))</f>
        <v/>
      </c>
      <c r="H641" s="24" t="str">
        <f t="shared" ca="1" si="73"/>
        <v/>
      </c>
      <c r="I641" s="24" t="str">
        <f t="shared" ca="1" si="73"/>
        <v/>
      </c>
      <c r="J641" s="24" t="str">
        <f t="shared" ca="1" si="73"/>
        <v>HOH - 1</v>
      </c>
      <c r="K641" s="24" t="str">
        <f t="shared" ca="1" si="73"/>
        <v/>
      </c>
      <c r="L641" s="24" t="str">
        <f t="shared" ca="1" si="73"/>
        <v/>
      </c>
    </row>
    <row r="642" spans="1:12" x14ac:dyDescent="0.25">
      <c r="G642" s="24" t="str">
        <f t="shared" ref="G642:L642" ca="1" si="74">IF(COUNTIF($D$638:$F$638,G640)=0,"","POV - "&amp;COUNTIF($D$638:$F$638,G640))</f>
        <v/>
      </c>
      <c r="H642" s="24" t="str">
        <f t="shared" ca="1" si="74"/>
        <v/>
      </c>
      <c r="I642" s="24" t="str">
        <f t="shared" ca="1" si="74"/>
        <v/>
      </c>
      <c r="J642" s="24" t="str">
        <f t="shared" ca="1" si="74"/>
        <v/>
      </c>
      <c r="K642" s="24" t="str">
        <f t="shared" ca="1" si="74"/>
        <v/>
      </c>
      <c r="L642" s="24" t="str">
        <f t="shared" ca="1" si="74"/>
        <v/>
      </c>
    </row>
    <row r="643" spans="1:12" x14ac:dyDescent="0.25">
      <c r="G643" s="16" t="str">
        <f ca="1">C638</f>
        <v>Megan</v>
      </c>
      <c r="H643" s="16" t="str">
        <f ca="1">C639</f>
        <v>Ramses</v>
      </c>
      <c r="I643" s="16" t="str">
        <f ca="1">IF(C640="",E630,C640)</f>
        <v>Raven</v>
      </c>
      <c r="J643" s="19" t="str">
        <f ca="1">E629</f>
        <v>Paul</v>
      </c>
      <c r="K643" s="30" t="str">
        <f ca="1">E628</f>
        <v>Kevin</v>
      </c>
      <c r="L643" s="19" t="str">
        <f ca="1">E627</f>
        <v>Dominique</v>
      </c>
    </row>
    <row r="644" spans="1:12" x14ac:dyDescent="0.25">
      <c r="G644" s="24" t="str">
        <f ca="1">IF(COUNTIF($D$637:$F$637,G643)=0,"","HOH - "&amp;COUNTIF($D$637:$F$637,G643))</f>
        <v/>
      </c>
      <c r="H644" s="24" t="str">
        <f ca="1">IF(COUNTIF($D$637:$F$637,H643)=0,"","HOH - "&amp;COUNTIF($D$637:$F$637,H643))</f>
        <v>HOH - 1</v>
      </c>
      <c r="I644" s="24" t="str">
        <f ca="1">IF(COUNTIF($D$637:$F$637,I643)=0,"","HOH - "&amp;COUNTIF($D$637:$F$637,I643))</f>
        <v>HOH - 1</v>
      </c>
      <c r="J644" s="31" t="str">
        <f ca="1">IF(COUNTIF($D$637:$F$637,J643)=0,"","HOH - "&amp;COUNTIF($D$637:$F$637,J643))</f>
        <v/>
      </c>
      <c r="K644" s="32" t="str">
        <f ca="1">IF(COUNTIF($D$637:$F$637,K643)=0,"","HOH - "&amp;COUNTIF($D$637:$F$637,K643))</f>
        <v/>
      </c>
      <c r="L644" s="31"/>
    </row>
    <row r="645" spans="1:12" x14ac:dyDescent="0.25">
      <c r="G645" s="26" t="str">
        <f ca="1">IF(COUNTIF($D$638:$F$638,G643)=0,"","POV - "&amp;COUNTIF($D$638:$F$638,G643))</f>
        <v/>
      </c>
      <c r="H645" s="26" t="str">
        <f ca="1">IF(COUNTIF($D$638:$F$638,H643)=0,"","POV - "&amp;COUNTIF($D$638:$F$638,H643))</f>
        <v/>
      </c>
      <c r="I645" s="26" t="str">
        <f ca="1">IF(COUNTIF($D$638:$F$638,I643)=0,"","POV - "&amp;COUNTIF($D$638:$F$638,I643))</f>
        <v/>
      </c>
      <c r="J645" s="33" t="str">
        <f ca="1">IF(COUNTIF($D$638:$F$638,J643)=0,"","POV - "&amp;COUNTIF($D$638:$F$638,J643))</f>
        <v/>
      </c>
      <c r="K645" s="34" t="str">
        <f ca="1">IF(COUNTIF($D$638:$F$638,K643)=0,"","POV - "&amp;COUNTIF($D$638:$F$638,K643))</f>
        <v/>
      </c>
      <c r="L645" s="33"/>
    </row>
    <row r="647" spans="1:12" x14ac:dyDescent="0.25">
      <c r="G647" s="2" t="s">
        <v>65</v>
      </c>
    </row>
    <row r="648" spans="1:12" x14ac:dyDescent="0.25">
      <c r="A648" t="str">
        <f ca="1">IF(C627=H648,C628,C627)</f>
        <v>Alex</v>
      </c>
      <c r="B648">
        <f t="shared" ref="B648:B659" ca="1" si="75">RAND()</f>
        <v>0.34312239493835395</v>
      </c>
      <c r="D648" t="str">
        <f ca="1">INDEX(Sheet4!B229:R229,MATCH(LARGE(Sheet4!B230:R230,1),Sheet4!B230:R230,0))</f>
        <v>Raven</v>
      </c>
      <c r="E648">
        <v>101</v>
      </c>
      <c r="G648" t="s">
        <v>130</v>
      </c>
      <c r="H648" t="str">
        <f ca="1">F637</f>
        <v>Ramses</v>
      </c>
    </row>
    <row r="649" spans="1:12" x14ac:dyDescent="0.25">
      <c r="A649" t="str">
        <f t="shared" ref="A649:A660" ca="1" si="76">IF(A648=C628,C629,IF(C628=$H$648,C629,C628))</f>
        <v>Cameron</v>
      </c>
      <c r="B649">
        <f t="shared" ca="1" si="75"/>
        <v>0.57565227095439875</v>
      </c>
      <c r="D649" t="str">
        <f ca="1">INDEX(Sheet4!B229:R229,MATCH(LARGE(Sheet4!B230:R230,2),Sheet4!B230:R230,0))</f>
        <v>Jessica</v>
      </c>
      <c r="E649">
        <f ca="1">LARGE(Sheet4!B230:R230,2)</f>
        <v>82.335943293871836</v>
      </c>
    </row>
    <row r="650" spans="1:12" x14ac:dyDescent="0.25">
      <c r="A650" t="str">
        <f t="shared" ca="1" si="76"/>
        <v>Christmas</v>
      </c>
      <c r="B650">
        <f t="shared" ca="1" si="75"/>
        <v>0.1182120823270858</v>
      </c>
      <c r="D650" t="str">
        <f ca="1">INDEX(Sheet4!B229:R229,MATCH(LARGE(Sheet4!B230:R230,3),Sheet4!B230:R230,0))</f>
        <v>Cody</v>
      </c>
      <c r="E650">
        <f ca="1">LARGE(Sheet4!B230:R230,3)</f>
        <v>73.03778757742748</v>
      </c>
      <c r="G650" t="str">
        <f ca="1">IF(A639="","","13th-")</f>
        <v>13th-</v>
      </c>
      <c r="H650" t="str">
        <f ca="1">IF(G650="","",INDEX(A648:A660,MATCH(LARGE(B648:B660,13),B648:B660,0)))</f>
        <v>Christmas</v>
      </c>
    </row>
    <row r="651" spans="1:12" x14ac:dyDescent="0.25">
      <c r="A651" t="str">
        <f t="shared" ca="1" si="76"/>
        <v>Cody</v>
      </c>
      <c r="B651">
        <f t="shared" ca="1" si="75"/>
        <v>0.94836002779677775</v>
      </c>
      <c r="D651" t="str">
        <f ca="1">INDEX(Sheet4!B229:R229,MATCH(LARGE(Sheet4!B230:R230,4),Sheet4!B230:R230,0))</f>
        <v>Ramses</v>
      </c>
      <c r="E651">
        <f ca="1">LARGE(Sheet4!B230:R230,4)</f>
        <v>61.058885096535313</v>
      </c>
      <c r="G651" t="s">
        <v>132</v>
      </c>
      <c r="H651" t="str">
        <f ca="1">INDEX(A648:A660,MATCH(LARGE(B648:B660,12),B648:B660,0))</f>
        <v>Elena</v>
      </c>
    </row>
    <row r="652" spans="1:12" x14ac:dyDescent="0.25">
      <c r="A652" t="str">
        <f t="shared" ca="1" si="76"/>
        <v>Elena</v>
      </c>
      <c r="B652">
        <f t="shared" ca="1" si="75"/>
        <v>0.17396480354871657</v>
      </c>
      <c r="D652" t="str">
        <f ca="1">INDEX(Sheet4!B229:R229,MATCH(LARGE(Sheet4!B230:R230,5),Sheet4!B230:R230,0))</f>
        <v>Elena</v>
      </c>
      <c r="E652">
        <f ca="1">LARGE(Sheet4!B230:R230,5)</f>
        <v>56.2767320805171</v>
      </c>
      <c r="G652" t="s">
        <v>133</v>
      </c>
      <c r="H652" t="str">
        <f ca="1">INDEX(A648:A660,MATCH(LARGE(B648:B660,11),B648:B660,0))</f>
        <v>Jessica</v>
      </c>
    </row>
    <row r="653" spans="1:12" x14ac:dyDescent="0.25">
      <c r="A653" t="str">
        <f t="shared" ca="1" si="76"/>
        <v>Jason</v>
      </c>
      <c r="B653">
        <f t="shared" ca="1" si="75"/>
        <v>0.62997676459217489</v>
      </c>
      <c r="D653" t="str">
        <f ca="1">INDEX(Sheet4!B229:R229,MATCH(LARGE(Sheet4!B230:R230,6),Sheet4!B230:R230,0))</f>
        <v>Christmas</v>
      </c>
      <c r="E653">
        <f ca="1">LARGE(Sheet4!B230:R230,6)</f>
        <v>49.206725336114673</v>
      </c>
      <c r="G653" t="s">
        <v>134</v>
      </c>
      <c r="H653" t="str">
        <f ca="1">INDEX(A648:A660,MATCH(LARGE(B648:B660,10),B648:B660,0))</f>
        <v>Megan</v>
      </c>
    </row>
    <row r="654" spans="1:12" x14ac:dyDescent="0.25">
      <c r="A654" t="str">
        <f t="shared" ca="1" si="76"/>
        <v>Jessica</v>
      </c>
      <c r="B654">
        <f t="shared" ca="1" si="75"/>
        <v>0.1967464692008648</v>
      </c>
      <c r="D654" t="str">
        <f ca="1">INDEX(Sheet4!B229:R229,MATCH(LARGE(Sheet4!B230:R230,7),Sheet4!B230:R230,0))</f>
        <v>Cameron</v>
      </c>
      <c r="E654">
        <f ca="1">LARGE(Sheet4!B230:R230,7)</f>
        <v>47.409368445659858</v>
      </c>
      <c r="G654" t="s">
        <v>135</v>
      </c>
      <c r="H654" t="str">
        <f ca="1">INDEX(A648:A660,MATCH(LARGE(B648:B660,9),B648:B660,0))</f>
        <v>Raven</v>
      </c>
    </row>
    <row r="655" spans="1:12" x14ac:dyDescent="0.25">
      <c r="A655" t="str">
        <f t="shared" ca="1" si="76"/>
        <v>Jillian</v>
      </c>
      <c r="B655">
        <f t="shared" ca="1" si="75"/>
        <v>0.49229134216652826</v>
      </c>
      <c r="D655" t="str">
        <f ca="1">INDEX(Sheet4!B229:R229,MATCH(LARGE(Sheet4!B230:R230,8),Sheet4!B230:R230,0))</f>
        <v>Alex</v>
      </c>
      <c r="E655">
        <f ca="1">LARGE(Sheet4!B230:R230,8)</f>
        <v>27.072683409527087</v>
      </c>
      <c r="G655" t="s">
        <v>46</v>
      </c>
      <c r="H655" t="str">
        <f ca="1">INDEX(A648:A660,MATCH(LARGE(B648:B660,8),B648:B660,0))</f>
        <v>Alex</v>
      </c>
    </row>
    <row r="656" spans="1:12" x14ac:dyDescent="0.25">
      <c r="A656" t="str">
        <f t="shared" ca="1" si="76"/>
        <v>Josh</v>
      </c>
      <c r="B656">
        <f t="shared" ca="1" si="75"/>
        <v>0.73549799506627045</v>
      </c>
      <c r="D656" t="str">
        <f ca="1">INDEX(Sheet4!B229:R229,MATCH(LARGE(Sheet4!B230:R230,9),Sheet4!B230:R230,0))</f>
        <v>Jason</v>
      </c>
      <c r="E656">
        <f ca="1">LARGE(Sheet4!B230:R230,9)</f>
        <v>26.449699295094824</v>
      </c>
      <c r="G656" t="s">
        <v>47</v>
      </c>
      <c r="H656" t="str">
        <f ca="1">INDEX(A648:A660,MATCH(LARGE(B648:B660,7),B648:B660,0))</f>
        <v>Jillian</v>
      </c>
    </row>
    <row r="657" spans="1:8" x14ac:dyDescent="0.25">
      <c r="A657" t="str">
        <f t="shared" ca="1" si="76"/>
        <v>Mark</v>
      </c>
      <c r="B657">
        <f t="shared" ca="1" si="75"/>
        <v>0.63586341371523847</v>
      </c>
      <c r="D657" t="str">
        <f ca="1">INDEX(Sheet4!B229:R229,MATCH(LARGE(Sheet4!B230:R230,10),Sheet4!B230:R230,0))</f>
        <v>Jillian</v>
      </c>
      <c r="E657">
        <f ca="1">LARGE(Sheet4!B230:R230,10)</f>
        <v>25.012998050500968</v>
      </c>
      <c r="G657" t="s">
        <v>48</v>
      </c>
      <c r="H657" t="str">
        <f ca="1">INDEX(A648:A660,MATCH(LARGE(B648:B660,6),B648:B660,0))</f>
        <v>Cameron</v>
      </c>
    </row>
    <row r="658" spans="1:8" x14ac:dyDescent="0.25">
      <c r="A658" t="str">
        <f t="shared" ca="1" si="76"/>
        <v>Matt</v>
      </c>
      <c r="B658">
        <f t="shared" ca="1" si="75"/>
        <v>0.71132879005691074</v>
      </c>
      <c r="D658" t="str">
        <f ca="1">INDEX(Sheet4!B229:R229,MATCH(LARGE(Sheet4!B230:R230,11),Sheet4!B230:R230,0))</f>
        <v>Josh</v>
      </c>
      <c r="E658">
        <f ca="1">LARGE(Sheet4!B230:R230,11)</f>
        <v>16.322321659313264</v>
      </c>
      <c r="G658" t="s">
        <v>49</v>
      </c>
      <c r="H658" t="str">
        <f ca="1">INDEX(A648:A660,MATCH(LARGE(B648:B660,5),B648:B660,0))</f>
        <v>Jason</v>
      </c>
    </row>
    <row r="659" spans="1:8" x14ac:dyDescent="0.25">
      <c r="A659" t="str">
        <f t="shared" ca="1" si="76"/>
        <v>Megan</v>
      </c>
      <c r="B659">
        <f t="shared" ca="1" si="75"/>
        <v>0.27654377083662196</v>
      </c>
      <c r="D659" t="str">
        <f ca="1">INDEX(Sheet4!B229:R229,MATCH(LARGE(Sheet4!B230:R230,12),Sheet4!B230:R230,0))</f>
        <v>Matt</v>
      </c>
      <c r="E659">
        <f ca="1">LARGE(Sheet4!B230:R230,12)</f>
        <v>16.041606218120869</v>
      </c>
      <c r="G659" t="s">
        <v>50</v>
      </c>
      <c r="H659" t="str">
        <f ca="1">INDEX(A648:A660,MATCH(LARGE(B648:B660,4),B648:B660,0))</f>
        <v>Mark</v>
      </c>
    </row>
    <row r="660" spans="1:8" x14ac:dyDescent="0.25">
      <c r="A660" t="str">
        <f t="shared" ca="1" si="76"/>
        <v>Raven</v>
      </c>
      <c r="B660">
        <f ca="1">IF(A660="","",RAND())</f>
        <v>0.30963876385640721</v>
      </c>
      <c r="D660" t="str">
        <f ca="1">INDEX(Sheet4!B229:R229,MATCH(LARGE(Sheet4!B230:R230,13),Sheet4!B230:R230,0))</f>
        <v>Mark</v>
      </c>
      <c r="E660">
        <f ca="1">LARGE(Sheet4!B230:R230,13)</f>
        <v>14.404075662040396</v>
      </c>
      <c r="F660" t="str">
        <f ca="1">F505</f>
        <v>Elena</v>
      </c>
      <c r="G660" t="s">
        <v>52</v>
      </c>
      <c r="H660" t="str">
        <f ca="1">INDEX(A648:A660,MATCH(LARGE(B648:B660,3),B648:B660,0))</f>
        <v>Matt</v>
      </c>
    </row>
    <row r="661" spans="1:8" x14ac:dyDescent="0.25">
      <c r="D661" t="str">
        <f ca="1">IF(E630="",INDEX(Sheet4!B229:R229,MATCH(LARGE(Sheet4!B230:R230,14),Sheet4!B230:R230,0)),"")</f>
        <v>Megan</v>
      </c>
      <c r="E661">
        <f ca="1">IF(D661="","",LARGE(Sheet4!B230:R230,14))</f>
        <v>10.140565248618941</v>
      </c>
      <c r="F661">
        <f ca="1">F506</f>
        <v>2</v>
      </c>
      <c r="G661" t="s">
        <v>53</v>
      </c>
      <c r="H661" t="str">
        <f ca="1">INDEX(A648:A660,MATCH(LARGE(B648:B660,2),B648:B660,0))</f>
        <v>Josh</v>
      </c>
    </row>
    <row r="662" spans="1:8" x14ac:dyDescent="0.25">
      <c r="F662" t="str">
        <f ca="1">G585</f>
        <v/>
      </c>
      <c r="G662" t="s">
        <v>54</v>
      </c>
      <c r="H662" t="str">
        <f ca="1">INDEX(A648:A660,MATCH(LARGE(B648:B660,1),B648:B660,0))</f>
        <v>Cody</v>
      </c>
    </row>
    <row r="663" spans="1:8" x14ac:dyDescent="0.25">
      <c r="F663" t="str">
        <f ca="1">H662</f>
        <v>Cody</v>
      </c>
      <c r="G663" t="str">
        <f ca="1">"Congratulations, "&amp;H662</f>
        <v>Congratulations, Cody</v>
      </c>
    </row>
    <row r="664" spans="1:8" x14ac:dyDescent="0.25">
      <c r="B664" s="4">
        <f>$D$374</f>
        <v>50</v>
      </c>
      <c r="C664">
        <f ca="1">E668</f>
        <v>3</v>
      </c>
    </row>
    <row r="665" spans="1:8" x14ac:dyDescent="0.25">
      <c r="C665" t="str">
        <f ca="1">C493</f>
        <v>Jessica</v>
      </c>
      <c r="G665" s="2" t="s">
        <v>85</v>
      </c>
    </row>
    <row r="666" spans="1:8" x14ac:dyDescent="0.25">
      <c r="C666" t="str">
        <f ca="1">F667</f>
        <v>Elena</v>
      </c>
      <c r="G666" s="1" t="str">
        <f ca="1">H662&amp;" must select "&amp;E668&amp;" have nots for the week"</f>
        <v>Cody must select 3 have nots for the week</v>
      </c>
    </row>
    <row r="667" spans="1:8" x14ac:dyDescent="0.25">
      <c r="A667" t="str">
        <f ca="1">INDEX(Sheet4!B226:R226,MATCH(SMALL(Sheet4!B227:R227,1),Sheet4!B227:R227,0))</f>
        <v>Christmas</v>
      </c>
      <c r="B667">
        <f ca="1">IF($I$26="On",SMALL(Sheet4!B227:R227,1),RAND())</f>
        <v>2.2850546326158266E-2</v>
      </c>
      <c r="C667">
        <f ca="1">IF(COUNTIF(C665:C666,A667)&gt;=1,"",RAND())</f>
        <v>0.62260175807355</v>
      </c>
      <c r="D667">
        <f ca="1">IF(C667="","",0.5)</f>
        <v>0.5</v>
      </c>
      <c r="E667" s="1"/>
      <c r="F667" t="str">
        <f ca="1">IF(E668=3,F505,"")</f>
        <v>Elena</v>
      </c>
      <c r="G667" s="1" t="str">
        <f ca="1">IF(F667="","",F667&amp;" is a have not for selecting the wrong box last week")</f>
        <v>Elena is a have not for selecting the wrong box last week</v>
      </c>
    </row>
    <row r="668" spans="1:8" x14ac:dyDescent="0.25">
      <c r="A668" t="str">
        <f ca="1">INDEX(Sheet4!B226:R226,MATCH(SMALL(Sheet4!B227:R227,2),Sheet4!B227:R227,0))</f>
        <v>Ramses</v>
      </c>
      <c r="B668">
        <f ca="1">IF($I$26="On",SMALL(Sheet4!B227:R227,2),RAND())</f>
        <v>12.024799850985175</v>
      </c>
      <c r="C668">
        <f ca="1">IF(COUNTIF(C665:C666,A668)&gt;=1,"",RAND())</f>
        <v>0.23062907886196726</v>
      </c>
      <c r="D668">
        <f ca="1">IF(C668="","",IF(D667="",0.5,SMALL(D667,1)+1))</f>
        <v>1.5</v>
      </c>
      <c r="E668" s="4">
        <f ca="1">IF(F661=1,4,IF(COUNTIF(F662:F664,F660)=1,4,3))</f>
        <v>3</v>
      </c>
      <c r="F668" t="str">
        <f ca="1">INDEX(A667:A679,MATCH(SMALL(C667:C679,1),C667:C679,0))</f>
        <v>Megan</v>
      </c>
      <c r="G668" s="1" t="s">
        <v>136</v>
      </c>
    </row>
    <row r="669" spans="1:8" x14ac:dyDescent="0.25">
      <c r="A669" t="str">
        <f ca="1">INDEX(Sheet4!B226:R226,MATCH(SMALL(Sheet4!B227:R227,3),Sheet4!B227:R227,0))</f>
        <v>Megan</v>
      </c>
      <c r="B669">
        <f ca="1">IF($I$26="On",SMALL(Sheet4!B227:R227,3),RAND())</f>
        <v>18.048940847008435</v>
      </c>
      <c r="C669">
        <f ca="1">IF(COUNTIF(C665:C666,A669)&gt;=1,"",RAND())</f>
        <v>7.620584646498163E-2</v>
      </c>
      <c r="D669">
        <f ca="1">IF(C669="","",IF(COUNTIF(D667:D668,"")=2,0.5,LARGE(D667:D668,1)+1))</f>
        <v>2.5</v>
      </c>
      <c r="F669" t="str">
        <f ca="1">INDEX(A667:A679,MATCH(SMALL(C667:C679,2),C667:C679,0))</f>
        <v>Ramses</v>
      </c>
      <c r="G669" s="1" t="str">
        <f ca="1">IF(F667="",F668&amp;", "&amp;F669&amp;", "&amp;F670&amp;" and "&amp;F671,F667&amp;", "&amp;F668&amp;", "&amp;F669&amp;" and "&amp;F670)</f>
        <v>Elena, Megan, Ramses and Jason</v>
      </c>
    </row>
    <row r="670" spans="1:8" x14ac:dyDescent="0.25">
      <c r="A670" t="str">
        <f ca="1">INDEX(Sheet4!B226:R226,MATCH(SMALL(Sheet4!B227:R227,4),Sheet4!B227:R227,0))</f>
        <v>Alex</v>
      </c>
      <c r="B670">
        <f ca="1">IF($I$26="On",SMALL(Sheet4!B227:R227,4),RAND())</f>
        <v>23.434421387666173</v>
      </c>
      <c r="C670">
        <f ca="1">IF(COUNTIF(C665:C666,A670)&gt;=1,"",IF($I$26="On",IF(LARGE(D667:D669,1)+1&lt;=C664,RAND(),IF(B670&gt;=B664,"",RAND())),RAND()))</f>
        <v>0.43805528651961878</v>
      </c>
      <c r="D670">
        <f ca="1">IF(C670="","",LARGE(D667:D669,1)+1)</f>
        <v>3.5</v>
      </c>
      <c r="F670" t="str">
        <f ca="1">INDEX(A667:A679,MATCH(SMALL(C667:C679,3),C667:C679,0))</f>
        <v>Jason</v>
      </c>
      <c r="G670" s="1"/>
    </row>
    <row r="671" spans="1:8" x14ac:dyDescent="0.25">
      <c r="A671" t="str">
        <f ca="1">INDEX(Sheet4!B226:R226,MATCH(SMALL(Sheet4!B227:R227,5),Sheet4!B227:R227,0))</f>
        <v>Mark</v>
      </c>
      <c r="B671">
        <f ca="1">IF($I$26="On",SMALL(Sheet4!B227:R227,5),RAND())</f>
        <v>24.230698123089187</v>
      </c>
      <c r="C671">
        <f ca="1">IF(COUNTIF($C$665:$C$666,A671)&gt;=1,"",IF($I$26="On",IF(LARGE($D$667:D670,1)+1&lt;=$C$664,RAND(),IF(B671&gt;=$B$664,"",RAND())),RAND()))</f>
        <v>0.66479937221716878</v>
      </c>
      <c r="D671">
        <f ca="1">IF(C671="","",LARGE(D668:D670,1)+1)</f>
        <v>4.5</v>
      </c>
      <c r="F671" t="str">
        <f ca="1">IF(E668=3,"",INDEX(A667:A679,MATCH(SMALL(C667:C679,4),C667:C679,0)))</f>
        <v/>
      </c>
      <c r="G671" s="2" t="s">
        <v>137</v>
      </c>
    </row>
    <row r="672" spans="1:8" x14ac:dyDescent="0.25">
      <c r="A672" t="str">
        <f ca="1">INDEX(Sheet4!B226:R226,MATCH(SMALL(Sheet4!B227:R227,6),Sheet4!B227:R227,0))</f>
        <v>Jason</v>
      </c>
      <c r="B672">
        <f ca="1">IF($I$26="On",SMALL(Sheet4!B227:R227,6),RAND())</f>
        <v>41.238479804029616</v>
      </c>
      <c r="C672">
        <f ca="1">IF(COUNTIF($C$665:$C$666,A672)&gt;=1,"",IF($I$26="On",IF(LARGE($D$667:D671,1)+1&lt;=$C$664,RAND(),IF(B672&gt;=$B$664,"",RAND())),RAND()))</f>
        <v>0.40460810649324497</v>
      </c>
      <c r="D672">
        <f ca="1">IF(C672="","",LARGE(D669:D671,1)+1)</f>
        <v>5.5</v>
      </c>
      <c r="F672">
        <f ca="1">IF(F667="","",RAND())</f>
        <v>8.3978532888467905E-2</v>
      </c>
      <c r="G672" s="1" t="str">
        <f ca="1">F677&amp;" requests the key"</f>
        <v>Jason requests the key</v>
      </c>
    </row>
    <row r="673" spans="1:9" x14ac:dyDescent="0.25">
      <c r="A673" t="str">
        <f ca="1">INDEX(Sheet4!B226:R226,MATCH(SMALL(Sheet4!B227:R227,7),Sheet4!B227:R227,0))</f>
        <v>Jessica</v>
      </c>
      <c r="B673">
        <f ca="1">IF($I$26="On",SMALL(Sheet4!B227:R227,7),RAND())</f>
        <v>46.28551811425136</v>
      </c>
      <c r="C673" t="str">
        <f ca="1">IF(COUNTIF($C$665:$C$666,A673)&gt;=1,"",IF($I$26="On",IF(LARGE($D$667:D672,1)+1&lt;=$C$664,RAND(),IF(B673&gt;=$B$664,"",RAND())),RAND()))</f>
        <v/>
      </c>
      <c r="F673">
        <f ca="1">IF(F668="","",RAND())</f>
        <v>0.47438048590191295</v>
      </c>
      <c r="G673" s="1" t="str">
        <f ca="1">IF(F678=1,F677&amp;" is now a Have for the week",F677&amp;" is now a Have Not next week as well")</f>
        <v>Jason is now a Have for the week</v>
      </c>
    </row>
    <row r="674" spans="1:9" x14ac:dyDescent="0.25">
      <c r="A674" t="str">
        <f ca="1">INDEX(Sheet4!B226:R226,MATCH(SMALL(Sheet4!B227:R227,8),Sheet4!B227:R227,0))</f>
        <v>Jillian</v>
      </c>
      <c r="B674">
        <f ca="1">IF($I$26="On",SMALL(Sheet4!B227:R227,8),RAND())</f>
        <v>52.275980603054812</v>
      </c>
      <c r="C674" t="str">
        <f t="shared" ref="C674:C679" ca="1" si="77">IF(COUNTIF($C$665:$C$666,A674)&gt;=1,"",IF($I$26="On",IF(B674&gt;=$B$664,"",RAND()),RAND()))</f>
        <v/>
      </c>
      <c r="E674">
        <f>Sheet4!$A$66</f>
        <v>65</v>
      </c>
      <c r="F674">
        <f ca="1">IF(F669="","",RAND())</f>
        <v>0.32858108579517076</v>
      </c>
    </row>
    <row r="675" spans="1:9" x14ac:dyDescent="0.25">
      <c r="A675" t="str">
        <f ca="1">INDEX(Sheet4!B226:R226,MATCH(SMALL(Sheet4!B227:R227,9),Sheet4!B227:R227,0))</f>
        <v>Josh</v>
      </c>
      <c r="B675">
        <f ca="1">IF($I$26="On",SMALL(Sheet4!B227:R227,9),RAND())</f>
        <v>68.054883665149632</v>
      </c>
      <c r="C675" t="str">
        <f t="shared" ca="1" si="77"/>
        <v/>
      </c>
      <c r="D675" t="str">
        <f ca="1">F679</f>
        <v>Christmas</v>
      </c>
      <c r="E675">
        <f ca="1">INDEX(E648:E661,MATCH(D675,D648:D661,0))</f>
        <v>49.206725336114673</v>
      </c>
      <c r="F675">
        <f ca="1">IF(F670="","",RAND())</f>
        <v>0.80624143691417127</v>
      </c>
      <c r="G675" s="2" t="s">
        <v>83</v>
      </c>
    </row>
    <row r="676" spans="1:9" x14ac:dyDescent="0.25">
      <c r="A676" t="str">
        <f ca="1">INDEX(Sheet4!B226:R226,MATCH(SMALL(Sheet4!B227:R227,10),Sheet4!B227:R227,0))</f>
        <v>Cameron</v>
      </c>
      <c r="B676">
        <f ca="1">IF($I$26="On",SMALL(Sheet4!B227:R227,10),RAND())</f>
        <v>69.289969172023191</v>
      </c>
      <c r="C676" t="str">
        <f t="shared" ca="1" si="77"/>
        <v/>
      </c>
      <c r="D676" t="str">
        <f ca="1">F680</f>
        <v>Ramses</v>
      </c>
      <c r="E676">
        <f ca="1">INDEX(E648:E661,MATCH(D676,D648:D661,0))</f>
        <v>61.058885096535313</v>
      </c>
      <c r="F676" t="str">
        <f ca="1">IF(F671="","",RAND())</f>
        <v/>
      </c>
      <c r="G676" s="1" t="str">
        <f ca="1">"The first person "&amp;H662&amp;" has nominated is…"</f>
        <v>The first person Cody has nominated is…</v>
      </c>
    </row>
    <row r="677" spans="1:9" x14ac:dyDescent="0.25">
      <c r="A677" t="str">
        <f ca="1">INDEX(Sheet4!B226:R226,MATCH(SMALL(Sheet4!B227:R227,11),Sheet4!B227:R227,0))</f>
        <v>Raven</v>
      </c>
      <c r="B677">
        <f ca="1">IF($I$26="On",SMALL(Sheet4!B227:R227,11),RAND())</f>
        <v>73.03778757742748</v>
      </c>
      <c r="C677" t="str">
        <f t="shared" ca="1" si="77"/>
        <v/>
      </c>
      <c r="D677" t="str">
        <f ca="1">F681</f>
        <v/>
      </c>
      <c r="E677" t="str">
        <f ca="1">IF(D677="","",INDEX(E648:E661,MATCH(D677,D648:D661,0)))</f>
        <v/>
      </c>
      <c r="F677" t="str">
        <f ca="1">INDEX(F667:F671,MATCH(LARGE(F672:F676,1),F672:F676,0))</f>
        <v>Jason</v>
      </c>
      <c r="G677" s="1" t="str">
        <f ca="1">F679</f>
        <v>Christmas</v>
      </c>
    </row>
    <row r="678" spans="1:9" x14ac:dyDescent="0.25">
      <c r="A678" t="str">
        <f ca="1">INDEX(Sheet4!B226:R226,MATCH(SMALL(Sheet4!B227:R227,12),Sheet4!B227:R227,0))</f>
        <v>Matt</v>
      </c>
      <c r="B678">
        <f ca="1">IF($I$26="On",SMALL(Sheet4!B227:R227,12),RAND())</f>
        <v>77.161630741743451</v>
      </c>
      <c r="C678" t="str">
        <f t="shared" ca="1" si="77"/>
        <v/>
      </c>
      <c r="D678">
        <f ca="1">COUNTIF(E675:E677,"&gt;="&amp;E674)</f>
        <v>0</v>
      </c>
      <c r="E678">
        <f ca="1">IF(E677="",2,3)</f>
        <v>2</v>
      </c>
      <c r="F678">
        <f ca="1">RANDBETWEEN(1,2)</f>
        <v>1</v>
      </c>
      <c r="G678" s="1" t="str">
        <f ca="1">"The second person "&amp;H662&amp;" has nominated is…"</f>
        <v>The second person Cody has nominated is…</v>
      </c>
    </row>
    <row r="679" spans="1:9" x14ac:dyDescent="0.25">
      <c r="A679" t="str">
        <f ca="1">IF(G585="",INDEX(Sheet4!B226:R226,MATCH(SMALL(Sheet4!B227:R227,13),Sheet4!B227:R227,0)),"")</f>
        <v>Elena</v>
      </c>
      <c r="B679">
        <f ca="1">IF(A679="","",IF($I$26="On",SMALL(Sheet4!B227:R227,13),RAND()))</f>
        <v>82.363856292644456</v>
      </c>
      <c r="C679" t="str">
        <f t="shared" ca="1" si="77"/>
        <v/>
      </c>
      <c r="E679">
        <f ca="1">IF(E678=2,IF(D678=2,3.5,D678+0.5),D678+0.5)</f>
        <v>0.5</v>
      </c>
      <c r="F679" t="str">
        <f ca="1">INDEX(A667:A679,MATCH(SMALL(B667:B679,1),B667:B679,0))</f>
        <v>Christmas</v>
      </c>
      <c r="G679" s="1" t="str">
        <f ca="1">F680</f>
        <v>Ramses</v>
      </c>
    </row>
    <row r="680" spans="1:9" x14ac:dyDescent="0.25">
      <c r="B680" t="str">
        <f ca="1">INDEX(A682:A696,MATCH(LARGE(B682:B696,1),B682:B696,0))</f>
        <v>Matt</v>
      </c>
      <c r="C680" t="str">
        <f ca="1">INDEX(A682:A696,MATCH(LARGE(C682:C696,1),C682:C696,0))</f>
        <v>Megan</v>
      </c>
      <c r="D680" t="str">
        <f ca="1">INDEX(A682:A696,MATCH(LARGE(D682:D696,1),D682:D696,0))</f>
        <v>HGC</v>
      </c>
      <c r="F680" t="str">
        <f ca="1">INDEX(A667:A679,MATCH(SMALL(B667:B679,2),B667:B679,0))</f>
        <v>Ramses</v>
      </c>
    </row>
    <row r="681" spans="1:9" x14ac:dyDescent="0.25">
      <c r="B681" t="str">
        <f ca="1">I685</f>
        <v/>
      </c>
      <c r="C681" t="str">
        <f ca="1">I686</f>
        <v/>
      </c>
      <c r="D681" t="str">
        <f ca="1">I687</f>
        <v>Josh</v>
      </c>
      <c r="F681" t="str">
        <f ca="1">IF(F686=1,F685,"")</f>
        <v/>
      </c>
      <c r="G681" s="1" t="str">
        <f ca="1">IF(F686=1,F685&amp;" stands up and has decided to use the curse (by default)","")</f>
        <v/>
      </c>
    </row>
    <row r="682" spans="1:9" x14ac:dyDescent="0.25">
      <c r="A682" t="str">
        <f t="shared" ref="A682:A695" ca="1" si="78">C627</f>
        <v>Alex</v>
      </c>
      <c r="B682">
        <f t="shared" ref="B682:B694" ca="1" si="79">IF(COUNTIF($F$679:$F$681,A682)=1,"",IF(A682=$H$662,"",RAND()))</f>
        <v>0.16521861441897745</v>
      </c>
      <c r="C682">
        <f t="shared" ref="C682:D696" ca="1" si="80">IF(COUNTIF(B$680:B$681,$A682)=1,"",IF(B682="","",RAND()))</f>
        <v>0.76445194033980768</v>
      </c>
      <c r="D682">
        <f t="shared" ca="1" si="80"/>
        <v>0.26733127685434399</v>
      </c>
      <c r="E682">
        <f t="shared" ref="E682:E694" ca="1" si="81">IF(COUNTIF($G$694:$I$695,A682)=1,"",RAND())</f>
        <v>0.46063863455659937</v>
      </c>
      <c r="F682" t="str">
        <f ca="1">INDEX(A667:A679,MATCH(SMALL(B667:B679,3),B667:B679,0))</f>
        <v>Megan</v>
      </c>
      <c r="G682" s="1" t="str">
        <f ca="1">IF(G681="","",F685&amp;" is now the 3rd nominee")</f>
        <v/>
      </c>
    </row>
    <row r="683" spans="1:9" x14ac:dyDescent="0.25">
      <c r="A683" t="str">
        <f t="shared" ca="1" si="78"/>
        <v>Cameron</v>
      </c>
      <c r="B683">
        <f t="shared" ca="1" si="79"/>
        <v>0.34963933917615286</v>
      </c>
      <c r="C683">
        <f t="shared" ca="1" si="80"/>
        <v>0.35747542029592838</v>
      </c>
      <c r="D683">
        <f t="shared" ca="1" si="80"/>
        <v>0.38013940574147964</v>
      </c>
      <c r="E683">
        <f t="shared" ca="1" si="81"/>
        <v>0.47629307568535817</v>
      </c>
      <c r="F683" t="str">
        <f ca="1">INDEX(A667:A679,MATCH(SMALL(B667:B679,4),B667:B679,0))</f>
        <v>Alex</v>
      </c>
    </row>
    <row r="684" spans="1:9" x14ac:dyDescent="0.25">
      <c r="A684" t="str">
        <f t="shared" ca="1" si="78"/>
        <v>Christmas</v>
      </c>
      <c r="B684" t="str">
        <f t="shared" ca="1" si="79"/>
        <v/>
      </c>
      <c r="C684" t="str">
        <f t="shared" ca="1" si="80"/>
        <v/>
      </c>
      <c r="D684" t="str">
        <f t="shared" ca="1" si="80"/>
        <v/>
      </c>
      <c r="E684" t="str">
        <f t="shared" ca="1" si="81"/>
        <v/>
      </c>
      <c r="F684" t="str">
        <f ca="1">INDEX(A667:A679,MATCH(SMALL(B667:B679,5),B667:B679,0))</f>
        <v>Mark</v>
      </c>
      <c r="G684" s="2" t="s">
        <v>105</v>
      </c>
    </row>
    <row r="685" spans="1:9" x14ac:dyDescent="0.25">
      <c r="A685" t="str">
        <f t="shared" ca="1" si="78"/>
        <v>Cody</v>
      </c>
      <c r="B685" t="str">
        <f t="shared" ca="1" si="79"/>
        <v/>
      </c>
      <c r="C685" t="str">
        <f t="shared" ca="1" si="80"/>
        <v/>
      </c>
      <c r="D685" t="str">
        <f t="shared" ca="1" si="80"/>
        <v/>
      </c>
      <c r="E685" t="str">
        <f t="shared" ca="1" si="81"/>
        <v/>
      </c>
      <c r="F685" t="str">
        <f ca="1">F525</f>
        <v>Ramses</v>
      </c>
      <c r="G685" t="str">
        <f ca="1">H662&amp;"-"</f>
        <v>Cody-</v>
      </c>
      <c r="H685" s="29" t="str">
        <f ca="1">B680</f>
        <v>Matt</v>
      </c>
      <c r="I685" s="29" t="str">
        <f ca="1">IF(H685="HGC",IF($I$26="On",INDEX(A699:A700,MATCH(SMALL(B699:B700,1),B699:B700,0)),INDEX(A682:A696,MATCH(LARGE(B682:B696,2),B682:B696,0))),"")</f>
        <v/>
      </c>
    </row>
    <row r="686" spans="1:9" x14ac:dyDescent="0.25">
      <c r="A686" t="str">
        <f t="shared" ca="1" si="78"/>
        <v>Elena</v>
      </c>
      <c r="B686">
        <f t="shared" ca="1" si="79"/>
        <v>0.30476849323902389</v>
      </c>
      <c r="C686">
        <f t="shared" ca="1" si="80"/>
        <v>0.72841163249471941</v>
      </c>
      <c r="D686">
        <f t="shared" ca="1" si="80"/>
        <v>0.44930318533184832</v>
      </c>
      <c r="E686">
        <f t="shared" ca="1" si="81"/>
        <v>0.43872239622687303</v>
      </c>
      <c r="F686" t="str">
        <f ca="1">IF(F404=1,"",IF(F526=1,"",IF(COUNTIF(E627:E630,F685)=1,"",IF(F685=H662,"NO",IF(COUNTIF(G677:G679,F685)=1,"NO",1)))))</f>
        <v>NO</v>
      </c>
      <c r="G686" t="str">
        <f ca="1">IF(F681="",G677&amp;"-",H662&amp;"-")</f>
        <v>Christmas-</v>
      </c>
      <c r="H686" s="29" t="str">
        <f ca="1">C680</f>
        <v>Megan</v>
      </c>
      <c r="I686" s="29" t="str">
        <f ca="1">IF(H686="HGC",IF($I$26="On",INDEX(C699:C702,MATCH(SMALL(D699:D702,1),D699:D702,0)),INDEX(A682:A696,MATCH(LARGE(C682:C696,2),C682:C696,0))),"")</f>
        <v/>
      </c>
    </row>
    <row r="687" spans="1:9" x14ac:dyDescent="0.25">
      <c r="A687" t="str">
        <f t="shared" ca="1" si="78"/>
        <v>Jason</v>
      </c>
      <c r="B687">
        <f t="shared" ca="1" si="79"/>
        <v>1.6638868245686056E-2</v>
      </c>
      <c r="C687">
        <f t="shared" ca="1" si="80"/>
        <v>0.21332940557861702</v>
      </c>
      <c r="D687">
        <f t="shared" ca="1" si="80"/>
        <v>0.35636284086438386</v>
      </c>
      <c r="E687">
        <f t="shared" ca="1" si="81"/>
        <v>0.23991052306627125</v>
      </c>
      <c r="F687" t="str">
        <f ca="1">IF(F686=1,F685,"")</f>
        <v/>
      </c>
      <c r="G687" t="str">
        <f ca="1">IF(F681="",G679&amp;"-","")</f>
        <v>Ramses-</v>
      </c>
      <c r="H687" s="29" t="str">
        <f ca="1">IF(G687="","",D680)</f>
        <v>HGC</v>
      </c>
      <c r="I687" s="29" t="str">
        <f ca="1">IF(H687="HGC",IF($I$26="On",INDEX(E699:E704,MATCH(SMALL(F699:F704,1),F699:F704,0)),INDEX(A682:A696,MATCH(LARGE(D682:D696,2),D682:D696,0))),"")</f>
        <v>Josh</v>
      </c>
    </row>
    <row r="688" spans="1:9" x14ac:dyDescent="0.25">
      <c r="A688" t="str">
        <f t="shared" ca="1" si="78"/>
        <v>Jessica</v>
      </c>
      <c r="B688">
        <f t="shared" ca="1" si="79"/>
        <v>0.39001602345563224</v>
      </c>
      <c r="C688">
        <f t="shared" ca="1" si="80"/>
        <v>8.8937390918531034E-2</v>
      </c>
      <c r="D688">
        <f t="shared" ca="1" si="80"/>
        <v>0.17732745476930267</v>
      </c>
      <c r="E688">
        <f t="shared" ca="1" si="81"/>
        <v>0.87592330501881566</v>
      </c>
    </row>
    <row r="689" spans="1:9" x14ac:dyDescent="0.25">
      <c r="A689" t="str">
        <f t="shared" ca="1" si="78"/>
        <v>Jillian</v>
      </c>
      <c r="B689">
        <f t="shared" ca="1" si="79"/>
        <v>0.31945751990935811</v>
      </c>
      <c r="C689">
        <f t="shared" ca="1" si="80"/>
        <v>0.73796197277585751</v>
      </c>
      <c r="D689">
        <f t="shared" ca="1" si="80"/>
        <v>0.20983998647994817</v>
      </c>
      <c r="E689">
        <f t="shared" ca="1" si="81"/>
        <v>0.82661052108342536</v>
      </c>
      <c r="G689" s="1" t="str">
        <f ca="1">IF(F692="Yes",F690&amp;" stands up and decides to use The Ring of Replacement","")</f>
        <v/>
      </c>
    </row>
    <row r="690" spans="1:9" x14ac:dyDescent="0.25">
      <c r="A690" t="str">
        <f t="shared" ca="1" si="78"/>
        <v>Josh</v>
      </c>
      <c r="B690">
        <f t="shared" ca="1" si="79"/>
        <v>0.20887798519416578</v>
      </c>
      <c r="C690">
        <f t="shared" ca="1" si="80"/>
        <v>0.32400541359515367</v>
      </c>
      <c r="D690">
        <f t="shared" ca="1" si="80"/>
        <v>0.63720436302833017</v>
      </c>
      <c r="E690" t="str">
        <f t="shared" ca="1" si="81"/>
        <v/>
      </c>
      <c r="F690" s="1" t="str">
        <f ca="1">$G$387</f>
        <v>Raven</v>
      </c>
      <c r="G690" s="1" t="str">
        <f ca="1">IF(G689="","",F690&amp;" uses it to replace…")</f>
        <v/>
      </c>
    </row>
    <row r="691" spans="1:9" x14ac:dyDescent="0.25">
      <c r="A691" t="str">
        <f t="shared" ca="1" si="78"/>
        <v>Mark</v>
      </c>
      <c r="B691">
        <f t="shared" ca="1" si="79"/>
        <v>8.0027792495976913E-3</v>
      </c>
      <c r="C691">
        <f t="shared" ca="1" si="80"/>
        <v>0.13978089572061991</v>
      </c>
      <c r="D691">
        <f t="shared" ca="1" si="80"/>
        <v>0.25708927786121816</v>
      </c>
      <c r="E691">
        <f t="shared" ca="1" si="81"/>
        <v>0.41139051777745139</v>
      </c>
      <c r="F691" s="1" t="str">
        <f ca="1">IF(G531&lt;&gt;"","",IF(G409&lt;&gt;"","",IF(COUNTIF(E627:E630,F690)=1,"",IF(COUNTIF(H662,F690)+COUNTIF(F679:F681,F690)+COUNTIF(H685:I687,F690)+COUNTIF(A707,F690)+COUNTIF(F687,F690)&gt;=1,"IN",IF($I$26="On",RANDBETWEEN(1,3),RANDBETWEEN(1,5))))))</f>
        <v/>
      </c>
      <c r="G691" s="1" t="str">
        <f ca="1">IF(G690="","",INDEX(A708:A710,MATCH(SMALL(B708:B710,1),B708:B710,0)))</f>
        <v/>
      </c>
    </row>
    <row r="692" spans="1:9" x14ac:dyDescent="0.25">
      <c r="A692" t="str">
        <f t="shared" ca="1" si="78"/>
        <v>Matt</v>
      </c>
      <c r="B692">
        <f t="shared" ca="1" si="79"/>
        <v>0.92605253403869581</v>
      </c>
      <c r="C692" t="str">
        <f t="shared" ca="1" si="80"/>
        <v/>
      </c>
      <c r="D692" t="str">
        <f t="shared" ca="1" si="80"/>
        <v/>
      </c>
      <c r="E692" t="str">
        <f t="shared" ca="1" si="81"/>
        <v/>
      </c>
      <c r="F692" t="str">
        <f ca="1">IF(F691="","",IF(F691="IN","No",IF($I$26="On",IF(F691&lt;=E679,"Yes","No"),IF(F691=1,"Yes","No"))))</f>
        <v/>
      </c>
    </row>
    <row r="693" spans="1:9" x14ac:dyDescent="0.25">
      <c r="A693" t="str">
        <f t="shared" ca="1" si="78"/>
        <v>Megan</v>
      </c>
      <c r="B693">
        <f t="shared" ca="1" si="79"/>
        <v>0.41510367269869697</v>
      </c>
      <c r="C693">
        <f t="shared" ca="1" si="80"/>
        <v>0.77284429371388763</v>
      </c>
      <c r="D693" t="str">
        <f t="shared" ca="1" si="80"/>
        <v/>
      </c>
      <c r="E693" t="str">
        <f t="shared" ca="1" si="81"/>
        <v/>
      </c>
      <c r="G693" s="2" t="s">
        <v>106</v>
      </c>
    </row>
    <row r="694" spans="1:9" x14ac:dyDescent="0.25">
      <c r="A694" t="str">
        <f t="shared" ca="1" si="78"/>
        <v>Ramses</v>
      </c>
      <c r="B694" t="str">
        <f t="shared" ca="1" si="79"/>
        <v/>
      </c>
      <c r="C694" t="str">
        <f t="shared" ca="1" si="80"/>
        <v/>
      </c>
      <c r="D694" t="str">
        <f t="shared" ca="1" si="80"/>
        <v/>
      </c>
      <c r="E694" t="str">
        <f t="shared" ca="1" si="81"/>
        <v/>
      </c>
      <c r="G694" s="29" t="str">
        <f ca="1">H662</f>
        <v>Cody</v>
      </c>
      <c r="H694" s="29" t="str">
        <f ca="1">F679</f>
        <v>Christmas</v>
      </c>
      <c r="I694" s="29" t="str">
        <f ca="1">F680</f>
        <v>Ramses</v>
      </c>
    </row>
    <row r="695" spans="1:9" x14ac:dyDescent="0.25">
      <c r="A695" t="str">
        <f t="shared" ca="1" si="78"/>
        <v>Raven</v>
      </c>
      <c r="B695">
        <f ca="1">IF(A695="","",IF(COUNTIF($F$679:$F$681,A695)=1,"",IF(A695=$H$662,"",RAND())))</f>
        <v>0.65169031834934177</v>
      </c>
      <c r="C695">
        <f t="shared" ca="1" si="80"/>
        <v>0.24381849716996618</v>
      </c>
      <c r="D695">
        <f t="shared" ca="1" si="80"/>
        <v>0.16898424913855381</v>
      </c>
      <c r="E695">
        <f ca="1">IF(A695="","",IF(COUNTIF($G$694:$I$695,A695)=1,"",RAND()))</f>
        <v>1.8367538618674573E-2</v>
      </c>
      <c r="G695" s="29" t="str">
        <f ca="1">IF(F681="",C708,F681)</f>
        <v>Matt</v>
      </c>
      <c r="H695" s="29" t="str">
        <f ca="1">IF(F681="",C709,C708)</f>
        <v>Megan</v>
      </c>
      <c r="I695" s="29" t="str">
        <f ca="1">IF(F681="",C710,C709)</f>
        <v>Josh</v>
      </c>
    </row>
    <row r="696" spans="1:9" x14ac:dyDescent="0.25">
      <c r="A696" t="s">
        <v>89</v>
      </c>
      <c r="B696">
        <f ca="1">RAND()</f>
        <v>0.76698055004142041</v>
      </c>
      <c r="C696">
        <f t="shared" ca="1" si="80"/>
        <v>0.7262168188780076</v>
      </c>
      <c r="D696">
        <f t="shared" ca="1" si="80"/>
        <v>0.77940605617544678</v>
      </c>
      <c r="G696" t="s">
        <v>107</v>
      </c>
      <c r="H696" t="str">
        <f ca="1">INDEX(A682:A695,MATCH(LARGE(E682:E695,1),E682:E695,0))</f>
        <v>Jessica</v>
      </c>
    </row>
    <row r="698" spans="1:9" x14ac:dyDescent="0.25">
      <c r="A698" t="str">
        <f ca="1">H662</f>
        <v>Cody</v>
      </c>
      <c r="C698" t="str">
        <f ca="1">IF(F681="",F679,H662)</f>
        <v>Christmas</v>
      </c>
      <c r="E698" t="str">
        <f ca="1">IF(F681="",G679,"")</f>
        <v>Ramses</v>
      </c>
      <c r="G698" t="s">
        <v>48</v>
      </c>
      <c r="H698" t="str">
        <f ca="1">INDEX(E706:E711,MATCH(SMALL(F706:F711,1),F706:F711,0))</f>
        <v>Cody</v>
      </c>
    </row>
    <row r="699" spans="1:9" x14ac:dyDescent="0.25">
      <c r="A699" t="str">
        <f ca="1">INDEX(Sheet4!B212:R212,MATCH(Game!A698,Sheet4!B211:R211,0))</f>
        <v>Elena</v>
      </c>
      <c r="B699">
        <f ca="1">IF(COUNTIF(A702,A699)&gt;=1,"",1)</f>
        <v>1</v>
      </c>
      <c r="C699" t="str">
        <f ca="1">INDEX(Sheet4!B212:R212,MATCH(Game!C698,Sheet4!B211:R211,0))</f>
        <v>Matt</v>
      </c>
      <c r="D699" t="str">
        <f ca="1">IF(COUNTIF(A702:A704,C699)&gt;=1,"",1)</f>
        <v/>
      </c>
      <c r="E699" t="str">
        <f ca="1">INDEX(Sheet4!B212:R212,MATCH(Game!E698,Sheet4!B211:R211,0))</f>
        <v>Christmas</v>
      </c>
      <c r="F699" t="str">
        <f ca="1">IF(E699="","",IF(COUNTIF(A702:A706,E699)&gt;=1,"",1))</f>
        <v/>
      </c>
      <c r="G699" t="s">
        <v>49</v>
      </c>
      <c r="H699" t="str">
        <f ca="1">INDEX(E706:E711,MATCH(SMALL(F706:F711,2),F706:F711,0))</f>
        <v>Josh</v>
      </c>
    </row>
    <row r="700" spans="1:9" x14ac:dyDescent="0.25">
      <c r="A700" t="str">
        <f ca="1">INDEX(Sheet4!B213:R213,MATCH(Game!A698,Sheet4!B211:R211,0))</f>
        <v>Matt</v>
      </c>
      <c r="B700">
        <f ca="1">IF(COUNTIF(A702,A700)&gt;=1,"",2)</f>
        <v>2</v>
      </c>
      <c r="C700" t="str">
        <f ca="1">INDEX(Sheet4!B213:R213,MATCH(Game!C698,Sheet4!B211:R211,0))</f>
        <v>Ramses</v>
      </c>
      <c r="D700">
        <f ca="1">IF(COUNTIF(A702:A704,C700)&gt;=1,"",2)</f>
        <v>2</v>
      </c>
      <c r="E700" t="str">
        <f ca="1">INDEX(Sheet4!B213:R213,MATCH(Game!E698,Sheet4!B211:R211,0))</f>
        <v>Josh</v>
      </c>
      <c r="F700">
        <f ca="1">IF(E700="","",IF(COUNTIF(A702:A706,E700)&gt;=1,"",2))</f>
        <v>2</v>
      </c>
      <c r="G700" t="s">
        <v>50</v>
      </c>
      <c r="H700" t="str">
        <f ca="1">INDEX(E706:E711,MATCH(SMALL(F706:F711,3),F706:F711,0))</f>
        <v>Christmas</v>
      </c>
    </row>
    <row r="701" spans="1:9" x14ac:dyDescent="0.25">
      <c r="C701" t="str">
        <f ca="1">INDEX(Sheet4!B214:R214,MATCH(Game!C698,Sheet4!B211:R211,0))</f>
        <v>Mark</v>
      </c>
      <c r="D701">
        <f ca="1">IF(COUNTIF(A702:A704,C701)&gt;=1,"",3)</f>
        <v>3</v>
      </c>
      <c r="E701" t="str">
        <f ca="1">INDEX(Sheet4!B214:R214,MATCH(Game!E698,Sheet4!B211:R211,0))</f>
        <v>Jillian</v>
      </c>
      <c r="F701">
        <f ca="1">IF(E701="","",IF(COUNTIF(A702:A706,E701)&gt;=1,"",3))</f>
        <v>3</v>
      </c>
      <c r="G701" t="s">
        <v>52</v>
      </c>
      <c r="H701" t="str">
        <f ca="1">INDEX(E706:E711,MATCH(SMALL(F706:F711,4),F706:F711,0))</f>
        <v>Matt</v>
      </c>
    </row>
    <row r="702" spans="1:9" x14ac:dyDescent="0.25">
      <c r="A702" t="str">
        <f ca="1">IF(F686=1,F685,"")</f>
        <v/>
      </c>
      <c r="C702" t="str">
        <f ca="1">INDEX(Sheet4!B215:R215,MATCH(Game!C698,Sheet4!B211:R211,0))</f>
        <v>Jessica</v>
      </c>
      <c r="D702">
        <f ca="1">IF(COUNTIF(A702:A704,C702)&gt;=1,"",4)</f>
        <v>4</v>
      </c>
      <c r="E702" t="str">
        <f ca="1">INDEX(Sheet4!B215:R215,MATCH(Game!E698,Sheet4!B211:R211,0))</f>
        <v>Raven</v>
      </c>
      <c r="F702">
        <f ca="1">IF(E702="","",IF(COUNTIF(A702:A706,E702)&gt;=1,"",4))</f>
        <v>4</v>
      </c>
      <c r="G702" t="s">
        <v>53</v>
      </c>
      <c r="H702" t="str">
        <f ca="1">INDEX(E706:E711,MATCH(SMALL(F706:F711,5),F706:F711,0))</f>
        <v>Ramses</v>
      </c>
    </row>
    <row r="703" spans="1:9" x14ac:dyDescent="0.25">
      <c r="A703" t="str">
        <f ca="1">A698</f>
        <v>Cody</v>
      </c>
      <c r="C703" t="str">
        <f ca="1">INDEX(A682:A696,MATCH(LARGE(D682:D696,3),D682:D696,0))</f>
        <v>Elena</v>
      </c>
      <c r="D703">
        <f ca="1">IF(C703=B711,"",IF(C703="HGC","",IF(C703=I687,"",1)))</f>
        <v>1</v>
      </c>
      <c r="E703" t="str">
        <f ca="1">INDEX(Sheet4!B216:R216,MATCH(Game!E698,Sheet4!B211:R211,0))</f>
        <v>Megan</v>
      </c>
      <c r="F703" t="str">
        <f ca="1">IF(E703="","",IF(COUNTIF(A702:A706,E703)&gt;=1,"",5))</f>
        <v/>
      </c>
      <c r="G703" t="s">
        <v>54</v>
      </c>
      <c r="H703" t="str">
        <f ca="1">INDEX(E706:E711,MATCH(SMALL(F706:F711,6),F706:F711,0))</f>
        <v>Megan</v>
      </c>
    </row>
    <row r="704" spans="1:9" x14ac:dyDescent="0.25">
      <c r="A704" t="str">
        <f ca="1">A708</f>
        <v>Matt</v>
      </c>
      <c r="C704" t="str">
        <f ca="1">INDEX(A682:A696,MATCH(LARGE(D682:D696,4),D682:D696,0))</f>
        <v>Cameron</v>
      </c>
      <c r="D704">
        <f ca="1">IF(C704=B711,"",IF(C704="HGC","",IF(C704=I687,"",2)))</f>
        <v>2</v>
      </c>
      <c r="E704" t="str">
        <f ca="1">INDEX(Sheet4!B217:R217,MATCH(Game!E698,Sheet4!B211:R211,0))</f>
        <v>Jessica</v>
      </c>
      <c r="F704">
        <f ca="1">IF(E704="","",IF(COUNTIF(A702:A706,E704)&gt;=1,"",6))</f>
        <v>6</v>
      </c>
      <c r="G704" t="str">
        <f ca="1">"Congratulations, "&amp;H703</f>
        <v>Congratulations, Megan</v>
      </c>
    </row>
    <row r="705" spans="1:9" x14ac:dyDescent="0.25">
      <c r="A705" t="str">
        <f ca="1">C698</f>
        <v>Christmas</v>
      </c>
      <c r="C705" t="str">
        <f ca="1">INDEX(A682:A696,MATCH(LARGE(D682:D696,5),D682:D696,0))</f>
        <v>Jason</v>
      </c>
      <c r="D705">
        <f ca="1">IF(C705=B711,"",IF(C705="HGC","",IF(C705=I687,"",3)))</f>
        <v>3</v>
      </c>
    </row>
    <row r="706" spans="1:9" x14ac:dyDescent="0.25">
      <c r="A706" t="str">
        <f ca="1">A709</f>
        <v>Megan</v>
      </c>
      <c r="C706" t="str">
        <f ca="1">INDEX(A682:A696,MATCH(LARGE(D682:D696,6),D682:D696,0))</f>
        <v>Alex</v>
      </c>
      <c r="D706">
        <f ca="1">IF(C706=B711,"",IF(C706="HGC","",IF(C706=I687,"",4)))</f>
        <v>4</v>
      </c>
      <c r="E706" t="str">
        <f ca="1">G694</f>
        <v>Cody</v>
      </c>
      <c r="F706">
        <f t="shared" ref="F706:F711" ca="1" si="82">RAND()</f>
        <v>0.37460889613188963</v>
      </c>
      <c r="G706" s="2" t="s">
        <v>111</v>
      </c>
    </row>
    <row r="707" spans="1:9" x14ac:dyDescent="0.25">
      <c r="E707" t="str">
        <f ca="1">H694</f>
        <v>Christmas</v>
      </c>
      <c r="F707">
        <f t="shared" ca="1" si="82"/>
        <v>0.41259683692662608</v>
      </c>
      <c r="G707" t="str">
        <f ca="1">H703&amp;" has decided to use the POV to save"</f>
        <v>Megan has decided to use the POV to save</v>
      </c>
    </row>
    <row r="708" spans="1:9" x14ac:dyDescent="0.25">
      <c r="A708" t="str">
        <f ca="1">IF(H685="HGC",I685,H685)</f>
        <v>Matt</v>
      </c>
      <c r="B708">
        <f ca="1">IF($I$26="On",INDEX(E648:E661,MATCH(A708,D648:D661,0)),RAND())</f>
        <v>16.041606218120869</v>
      </c>
      <c r="C708" t="str">
        <f ca="1">IF(B711="",A708,IF(A708=G691,B711,A708))</f>
        <v>Matt</v>
      </c>
      <c r="E708" t="str">
        <f ca="1">I694</f>
        <v>Ramses</v>
      </c>
      <c r="F708">
        <f t="shared" ca="1" si="82"/>
        <v>0.74070641313067043</v>
      </c>
      <c r="G708" t="str">
        <f ca="1">IF($I$26="On",Sheet4!A236,IF(COUNTIF(F679:F681,H703)=1,H703,IF(F712=1,F679,IF(F712=2,F680,IF(F681="","Neither Nominee",IF(F712=3,F681,"Nobody"))))))</f>
        <v>Neither Nominee</v>
      </c>
    </row>
    <row r="709" spans="1:9" x14ac:dyDescent="0.25">
      <c r="A709" t="str">
        <f ca="1">IF(H686="HGC",I686,H686)</f>
        <v>Megan</v>
      </c>
      <c r="B709">
        <f ca="1">IF($I$26="On",INDEX(E648:E661,MATCH(A709,D648:D661,0)),RAND())</f>
        <v>10.140565248618941</v>
      </c>
      <c r="C709" t="str">
        <f ca="1">IF(B711="",A709,IF(A709=G691,B711,A709))</f>
        <v>Megan</v>
      </c>
      <c r="E709" t="str">
        <f ca="1">G695</f>
        <v>Matt</v>
      </c>
      <c r="F709">
        <f t="shared" ca="1" si="82"/>
        <v>0.67268855216257073</v>
      </c>
      <c r="G709" t="str">
        <f ca="1">IF(G708=F681,"This POV Ceremony is adjourned",IF(G708="Nobody","This POV Ceremony is adjourned",IF(G708="Neither Nominee","This POV Ceremony is adjourned",H662&amp;" has decided to put up")))</f>
        <v>This POV Ceremony is adjourned</v>
      </c>
    </row>
    <row r="710" spans="1:9" x14ac:dyDescent="0.25">
      <c r="A710" t="str">
        <f ca="1">IF(H687="","",IF(H687="HGC",I687,H687))</f>
        <v>Josh</v>
      </c>
      <c r="B710">
        <f ca="1">IF(A710="","",IF($I$26="On",INDEX(E648:E661,MATCH(A710,D648:D661,0)),RAND()))</f>
        <v>16.322321659313264</v>
      </c>
      <c r="C710" t="str">
        <f ca="1">IF(B711="",A710,IF(A710=G691,B711,A710))</f>
        <v>Josh</v>
      </c>
      <c r="E710" t="str">
        <f ca="1">H695</f>
        <v>Megan</v>
      </c>
      <c r="F710">
        <f t="shared" ca="1" si="82"/>
        <v>0.80310979461911813</v>
      </c>
      <c r="G710" t="str">
        <f ca="1">IF(COUNTIF(G709,"*adjourned")=1,"",INDEX(C712:C714,MATCH(SMALL(D712:D714,1),D712:D714,0)))</f>
        <v/>
      </c>
    </row>
    <row r="711" spans="1:9" x14ac:dyDescent="0.25">
      <c r="B711" t="str">
        <f ca="1">IF(F692="Yes",F690,"")</f>
        <v/>
      </c>
      <c r="E711" t="str">
        <f ca="1">I695</f>
        <v>Josh</v>
      </c>
      <c r="F711">
        <f t="shared" ca="1" si="82"/>
        <v>0.38206845309587423</v>
      </c>
      <c r="G711" t="s">
        <v>152</v>
      </c>
    </row>
    <row r="712" spans="1:9" x14ac:dyDescent="0.25">
      <c r="C712" t="str">
        <f ca="1">F682</f>
        <v>Megan</v>
      </c>
      <c r="D712" t="str">
        <f ca="1">IF(C712=F681,"",IF(C712=H703,"",1))</f>
        <v/>
      </c>
      <c r="F712">
        <f ca="1">IF(F686=1,RANDBETWEEN(1,6),RANDBETWEEN(1,4))</f>
        <v>4</v>
      </c>
      <c r="G712" t="str">
        <f ca="1">IF(F679=G708,G710,F679)</f>
        <v>Christmas</v>
      </c>
    </row>
    <row r="713" spans="1:9" x14ac:dyDescent="0.25">
      <c r="C713" t="str">
        <f ca="1">F683</f>
        <v>Alex</v>
      </c>
      <c r="D713">
        <f ca="1">IF(C713=F681,"",IF(C713=H703,"",2))</f>
        <v>2</v>
      </c>
      <c r="G713" t="str">
        <f ca="1">IF(F680=G708,G710,F680)</f>
        <v>Ramses</v>
      </c>
    </row>
    <row r="714" spans="1:9" x14ac:dyDescent="0.25">
      <c r="C714" t="str">
        <f ca="1">F684</f>
        <v>Mark</v>
      </c>
      <c r="D714">
        <f ca="1">IF(C714=F681,"",IF(C714=H703,"",3))</f>
        <v>3</v>
      </c>
      <c r="G714" t="str">
        <f ca="1">IF(F681=G708,"",F681)</f>
        <v/>
      </c>
    </row>
    <row r="716" spans="1:9" x14ac:dyDescent="0.25">
      <c r="G716" s="2" t="s">
        <v>114</v>
      </c>
    </row>
    <row r="717" spans="1:9" x14ac:dyDescent="0.25">
      <c r="D717" t="str">
        <f ca="1">IF(COUNTIF(E627:E630,G509)=1,"",IF(E561="Halt","",IF($I$26="On",Sheet4!A241,IF(COUNTIF(G712:G714,G509)=1,RANDBETWEEN(1,2),RANDBETWEEN(1,4)))))</f>
        <v/>
      </c>
      <c r="E717" t="str">
        <f ca="1">IF(D717="","",IF(D717=1,"Halt",IF(D717="Halt","Halt","No")))</f>
        <v/>
      </c>
      <c r="F717" t="str">
        <f ca="1">H662</f>
        <v>Cody</v>
      </c>
      <c r="G717" s="29" t="str">
        <f ca="1">G712</f>
        <v>Christmas</v>
      </c>
      <c r="H717" s="29" t="str">
        <f ca="1">G713</f>
        <v>Ramses</v>
      </c>
      <c r="I717" s="29" t="str">
        <f ca="1">G714</f>
        <v/>
      </c>
    </row>
    <row r="719" spans="1:9" x14ac:dyDescent="0.25">
      <c r="C719" t="str">
        <f t="shared" ref="C719:C732" ca="1" si="83">A682</f>
        <v>Alex</v>
      </c>
      <c r="D719">
        <f t="shared" ref="D719:D731" ca="1" si="84">IF(COUNTIF($F$717:$I$717,C719)=1,"",RAND())</f>
        <v>8.8659827645641731E-2</v>
      </c>
      <c r="G719" t="str">
        <f ca="1">IF(E717="Halt",G509&amp;" has decided to use the Halting Hex power","")</f>
        <v/>
      </c>
    </row>
    <row r="720" spans="1:9" x14ac:dyDescent="0.25">
      <c r="C720" t="str">
        <f t="shared" ca="1" si="83"/>
        <v>Cameron</v>
      </c>
      <c r="D720">
        <f t="shared" ca="1" si="84"/>
        <v>0.77628753529555139</v>
      </c>
      <c r="G720" t="str">
        <f ca="1">IF(E717="Halt","This eviction is cancelled","")</f>
        <v/>
      </c>
    </row>
    <row r="721" spans="3:8" x14ac:dyDescent="0.25">
      <c r="C721" t="str">
        <f t="shared" ca="1" si="83"/>
        <v>Christmas</v>
      </c>
      <c r="D721" t="str">
        <f t="shared" ca="1" si="84"/>
        <v/>
      </c>
      <c r="E721" t="str">
        <f ca="1">INDEX(C719:C732,MATCH(SMALL(D719:D732,1),D719:D732,0))</f>
        <v>Alex</v>
      </c>
      <c r="F721">
        <f t="shared" ref="F721:F729" ca="1" si="85">IF($I$717="",RANDBETWEEN(1,2),RANDBETWEEN(1,3))</f>
        <v>2</v>
      </c>
      <c r="G721" t="str">
        <f ca="1">IF(E717="Halt","",E721&amp;"-")</f>
        <v>Alex-</v>
      </c>
      <c r="H721" t="str">
        <f ca="1">IF(G721="","",IF($I$26="On",INDEX(Sheet4!$B$247:$R$247,MATCH(Game!E721,Sheet4!$B$243:$R$243,0)),IF(F721=1,$G$717,IF(F721=2,$H$717,$I$717))))</f>
        <v>Christmas</v>
      </c>
    </row>
    <row r="722" spans="3:8" x14ac:dyDescent="0.25">
      <c r="C722" t="str">
        <f t="shared" ca="1" si="83"/>
        <v>Cody</v>
      </c>
      <c r="D722" t="str">
        <f t="shared" ca="1" si="84"/>
        <v/>
      </c>
      <c r="E722" t="str">
        <f ca="1">INDEX(C719:C732,MATCH(SMALL(D719:D732,2),D719:D732,0))</f>
        <v>Elena</v>
      </c>
      <c r="F722">
        <f t="shared" ca="1" si="85"/>
        <v>2</v>
      </c>
      <c r="G722" t="str">
        <f t="shared" ref="G722:G729" ca="1" si="86">IF(G721="","",E722&amp;"-")</f>
        <v>Elena-</v>
      </c>
      <c r="H722" t="str">
        <f ca="1">IF(G722="","",IF($I$26="On",INDEX(Sheet4!$B$247:$R$247,MATCH(Game!E722,Sheet4!$B$243:$R$243,0)),IF(F722=1,$G$717,IF(F722=2,$H$717,$I$717))))</f>
        <v>Ramses</v>
      </c>
    </row>
    <row r="723" spans="3:8" x14ac:dyDescent="0.25">
      <c r="C723" t="str">
        <f t="shared" ca="1" si="83"/>
        <v>Elena</v>
      </c>
      <c r="D723">
        <f t="shared" ca="1" si="84"/>
        <v>0.12160591839781654</v>
      </c>
      <c r="E723" t="str">
        <f ca="1">INDEX(C719:C732,MATCH(SMALL(D719:D732,3),D719:D732,0))</f>
        <v>Jillian</v>
      </c>
      <c r="F723">
        <f t="shared" ca="1" si="85"/>
        <v>2</v>
      </c>
      <c r="G723" t="str">
        <f t="shared" ca="1" si="86"/>
        <v>Jillian-</v>
      </c>
      <c r="H723" t="str">
        <f ca="1">IF(G723="","",IF($I$26="On",INDEX(Sheet4!$B$247:$R$247,MATCH(Game!E723,Sheet4!$B$243:$R$243,0)),IF(F723=1,$G$717,IF(F723=2,$H$717,$I$717))))</f>
        <v>Christmas</v>
      </c>
    </row>
    <row r="724" spans="3:8" x14ac:dyDescent="0.25">
      <c r="C724" t="str">
        <f t="shared" ca="1" si="83"/>
        <v>Jason</v>
      </c>
      <c r="D724">
        <f t="shared" ca="1" si="84"/>
        <v>0.65621418390244934</v>
      </c>
      <c r="E724" t="str">
        <f ca="1">INDEX(C719:C732,MATCH(SMALL(D719:D732,4),D719:D732,0))</f>
        <v>Jessica</v>
      </c>
      <c r="F724">
        <f t="shared" ca="1" si="85"/>
        <v>1</v>
      </c>
      <c r="G724" t="str">
        <f t="shared" ca="1" si="86"/>
        <v>Jessica-</v>
      </c>
      <c r="H724" t="str">
        <f ca="1">IF(G724="","",IF($I$26="On",INDEX(Sheet4!$B$247:$R$247,MATCH(Game!E724,Sheet4!$B$243:$R$243,0)),IF(F724=1,$G$717,IF(F724=2,$H$717,$I$717))))</f>
        <v>Ramses</v>
      </c>
    </row>
    <row r="725" spans="3:8" x14ac:dyDescent="0.25">
      <c r="C725" t="str">
        <f t="shared" ca="1" si="83"/>
        <v>Jessica</v>
      </c>
      <c r="D725">
        <f t="shared" ca="1" si="84"/>
        <v>0.21333631524783836</v>
      </c>
      <c r="E725" t="str">
        <f ca="1">INDEX(C719:C732,MATCH(SMALL(D719:D732,5),D719:D732,0))</f>
        <v>Raven</v>
      </c>
      <c r="F725">
        <f t="shared" ca="1" si="85"/>
        <v>1</v>
      </c>
      <c r="G725" t="str">
        <f t="shared" ca="1" si="86"/>
        <v>Raven-</v>
      </c>
      <c r="H725" t="str">
        <f ca="1">IF(G725="","",IF($I$26="On",INDEX(Sheet4!$B$247:$R$247,MATCH(Game!E725,Sheet4!$B$243:$R$243,0)),IF(F725=1,$G$717,IF(F725=2,$H$717,$I$717))))</f>
        <v>Christmas</v>
      </c>
    </row>
    <row r="726" spans="3:8" x14ac:dyDescent="0.25">
      <c r="C726" t="str">
        <f t="shared" ca="1" si="83"/>
        <v>Jillian</v>
      </c>
      <c r="D726">
        <f t="shared" ca="1" si="84"/>
        <v>0.16028819613523715</v>
      </c>
      <c r="E726" t="str">
        <f ca="1">INDEX(C719:C732,MATCH(SMALL(D719:D732,6),D719:D732,0))</f>
        <v>Matt</v>
      </c>
      <c r="F726">
        <f t="shared" ca="1" si="85"/>
        <v>1</v>
      </c>
      <c r="G726" t="str">
        <f t="shared" ca="1" si="86"/>
        <v>Matt-</v>
      </c>
      <c r="H726" t="str">
        <f ca="1">IF(G726="","",IF($I$26="On",INDEX(Sheet4!$B$247:$R$247,MATCH(Game!E726,Sheet4!$B$243:$R$243,0)),IF(F726=1,$G$717,IF(F726=2,$H$717,$I$717))))</f>
        <v>Ramses</v>
      </c>
    </row>
    <row r="727" spans="3:8" x14ac:dyDescent="0.25">
      <c r="C727" t="str">
        <f t="shared" ca="1" si="83"/>
        <v>Josh</v>
      </c>
      <c r="D727">
        <f t="shared" ca="1" si="84"/>
        <v>0.8883380593243847</v>
      </c>
      <c r="E727" t="str">
        <f ca="1">INDEX(C719:C732,MATCH(SMALL(D719:D732,7),D719:D732,0))</f>
        <v>Jason</v>
      </c>
      <c r="F727">
        <f t="shared" ca="1" si="85"/>
        <v>1</v>
      </c>
      <c r="G727" t="str">
        <f t="shared" ca="1" si="86"/>
        <v>Jason-</v>
      </c>
      <c r="H727" t="str">
        <f ca="1">IF(G727="","",IF($I$26="On",INDEX(Sheet4!$B$247:$R$247,MATCH(Game!E727,Sheet4!$B$243:$R$243,0)),IF(F727=1,$G$717,IF(F727=2,$H$717,$I$717))))</f>
        <v>Ramses</v>
      </c>
    </row>
    <row r="728" spans="3:8" x14ac:dyDescent="0.25">
      <c r="C728" t="str">
        <f t="shared" ca="1" si="83"/>
        <v>Mark</v>
      </c>
      <c r="D728">
        <f t="shared" ca="1" si="84"/>
        <v>0.84348135649637523</v>
      </c>
      <c r="E728" t="str">
        <f ca="1">INDEX(C719:C732,MATCH(SMALL(D719:D732,8),D719:D732,0))</f>
        <v>Cameron</v>
      </c>
      <c r="F728">
        <f t="shared" ca="1" si="85"/>
        <v>2</v>
      </c>
      <c r="G728" t="str">
        <f t="shared" ca="1" si="86"/>
        <v>Cameron-</v>
      </c>
      <c r="H728" t="str">
        <f ca="1">IF(G728="","",IF($I$26="On",INDEX(Sheet4!$B$247:$R$247,MATCH(Game!E728,Sheet4!$B$243:$R$243,0)),IF(F728=1,$G$717,IF(F728=2,$H$717,$I$717))))</f>
        <v>Ramses</v>
      </c>
    </row>
    <row r="729" spans="3:8" x14ac:dyDescent="0.25">
      <c r="C729" t="str">
        <f t="shared" ca="1" si="83"/>
        <v>Matt</v>
      </c>
      <c r="D729">
        <f t="shared" ca="1" si="84"/>
        <v>0.44221754880372544</v>
      </c>
      <c r="E729" t="str">
        <f ca="1">INDEX(C719:C732,MATCH(SMALL(D719:D732,9),D719:D732,0))</f>
        <v>Mark</v>
      </c>
      <c r="F729">
        <f t="shared" ca="1" si="85"/>
        <v>2</v>
      </c>
      <c r="G729" t="str">
        <f t="shared" ca="1" si="86"/>
        <v>Mark-</v>
      </c>
      <c r="H729" t="str">
        <f ca="1">IF(G729="","",IF($I$26="On",INDEX(Sheet4!$B$247:$R$247,MATCH(Game!E729,Sheet4!$B$243:$R$243,0)),IF(F729=1,$G$717,IF(F729=2,$H$717,$I$717))))</f>
        <v>Ramses</v>
      </c>
    </row>
    <row r="730" spans="3:8" x14ac:dyDescent="0.25">
      <c r="C730" t="str">
        <f t="shared" ca="1" si="83"/>
        <v>Megan</v>
      </c>
      <c r="D730">
        <f t="shared" ca="1" si="84"/>
        <v>0.92881380009831171</v>
      </c>
      <c r="E730" t="str">
        <f ca="1">IF(C734&lt;=9,"",INDEX(C719:C732,MATCH(SMALL(D719:D732,10),D719:D732,0)))</f>
        <v>Josh</v>
      </c>
      <c r="F730">
        <f ca="1">IF(E730="","",IF($I$717="",RANDBETWEEN(1,2),RANDBETWEEN(1,3)))</f>
        <v>1</v>
      </c>
      <c r="G730" t="str">
        <f ca="1">IF(E730="","",IF(G729="","",E730&amp;"-"))</f>
        <v>Josh-</v>
      </c>
      <c r="H730" t="str">
        <f ca="1">IF(G730="","",IF($I$26="On",INDEX(Sheet4!$B$247:$R$247,MATCH(Game!E730,Sheet4!$B$243:$R$243,0)),IF(F730=1,$G$717,IF(F730=2,$H$717,$I$717))))</f>
        <v>Christmas</v>
      </c>
    </row>
    <row r="731" spans="3:8" x14ac:dyDescent="0.25">
      <c r="C731" t="str">
        <f t="shared" ca="1" si="83"/>
        <v>Ramses</v>
      </c>
      <c r="D731" t="str">
        <f t="shared" ca="1" si="84"/>
        <v/>
      </c>
      <c r="E731" t="str">
        <f ca="1">IF(C732="","",IF(I717="",INDEX(C719:C732,MATCH(SMALL(D719:D732,11),D719:D732,0)),""))</f>
        <v>Megan</v>
      </c>
      <c r="F731">
        <f ca="1">IF(E731="","",IF($I$717="",RANDBETWEEN(1,2),RANDBETWEEN(1,3)))</f>
        <v>1</v>
      </c>
      <c r="G731" t="str">
        <f ca="1">IF(E731="","",IF(G730="","",E731&amp;"-"))</f>
        <v>Megan-</v>
      </c>
      <c r="H731" t="str">
        <f ca="1">IF(G731="","",IF($I$26="On",INDEX(Sheet4!$B$247:$R$247,MATCH(Game!E731,Sheet4!$B$243:$R$243,0)),IF(F731=1,$G$717,IF(F731=2,$H$717,$I$717))))</f>
        <v>Christmas</v>
      </c>
    </row>
    <row r="732" spans="3:8" x14ac:dyDescent="0.25">
      <c r="C732" t="str">
        <f t="shared" ca="1" si="83"/>
        <v>Raven</v>
      </c>
      <c r="D732">
        <f ca="1">IF(C732="","",IF(COUNTIF($F$717:$I$717,C732)=1,"",RAND()))</f>
        <v>0.37001924292699417</v>
      </c>
      <c r="G732" t="str">
        <f ca="1">IF(E737&gt;=2,"We have a tie!","")</f>
        <v/>
      </c>
    </row>
    <row r="733" spans="3:8" x14ac:dyDescent="0.25">
      <c r="G733" t="str">
        <f ca="1">IF(G732="","",F717&amp;", the HOH, will break the tie")</f>
        <v/>
      </c>
    </row>
    <row r="734" spans="3:8" x14ac:dyDescent="0.25">
      <c r="C734">
        <f ca="1">COUNTIF(D719:D732,"&lt;=1.1")</f>
        <v>11</v>
      </c>
      <c r="E734" t="str">
        <f ca="1">G717</f>
        <v>Christmas</v>
      </c>
      <c r="F734">
        <f ca="1">IF($I$26="On",COUNTIF(H720:H731,E734)+INDEX(B667:B679,MATCH(E734,A667:A679,0))/220,COUNTIF(H720:H731,E734)+RAND()/2.2)</f>
        <v>5.0001038661196642</v>
      </c>
      <c r="G734" t="str">
        <f ca="1">IF(G733="","",F717&amp;"-")</f>
        <v/>
      </c>
      <c r="H734" t="str">
        <f ca="1">IF(G734="","",E738)</f>
        <v/>
      </c>
    </row>
    <row r="735" spans="3:8" x14ac:dyDescent="0.25">
      <c r="E735" t="str">
        <f ca="1">H717</f>
        <v>Ramses</v>
      </c>
      <c r="F735">
        <f ca="1">IF($I$26="On",COUNTIF(H720:H731,E735)+INDEX(B667:B679,MATCH(E735,A667:A679,0))/220,COUNTIF(H720:H731,E735)+RAND()/2.2)</f>
        <v>6.0546581811408418</v>
      </c>
    </row>
    <row r="736" spans="3:8" x14ac:dyDescent="0.25">
      <c r="E736" t="str">
        <f ca="1">I717</f>
        <v/>
      </c>
      <c r="F736" t="str">
        <f ca="1">IF(E736="","",IF($I$26="On",COUNTIF(H720:H730,E736)+INDEX(B667:B679,MATCH(E736,A667:A679,0))/220,COUNTIF(H720:H730,E736)+RAND()/2.2))</f>
        <v/>
      </c>
      <c r="G736" t="str">
        <f ca="1">IF(F745="","","With "&amp;ROUND(SMALL(F743:F745,1),0)&amp;IF(ROUND(SMALL(F743:F745,1),0)=1," vote"," votes"))</f>
        <v/>
      </c>
    </row>
    <row r="737" spans="1:12" x14ac:dyDescent="0.25">
      <c r="E737">
        <f ca="1">IF(E717="Halt",1,COUNTIF(F737:F739,F737))</f>
        <v>1</v>
      </c>
      <c r="F737">
        <f ca="1">ROUND(LARGE(F734:F736,1),0)</f>
        <v>6</v>
      </c>
      <c r="G737" t="str">
        <f ca="1">IF(G736="","",INDEX(E740:E742,MATCH(SMALL(F740:F742,1),F740:F742,0)))</f>
        <v/>
      </c>
    </row>
    <row r="738" spans="1:12" x14ac:dyDescent="0.25">
      <c r="E738" t="str">
        <f ca="1">IF(E737=3,INDEX(E734:E736,MATCH(SMALL(F734:F736,1),F734:F736,0)),INDEX(E734:E736,MATCH(LARGE(F734:F736,2),F734:F736,0)))</f>
        <v>Christmas</v>
      </c>
      <c r="F738">
        <f ca="1">ROUND(LARGE(F734:F736,2),0)</f>
        <v>5</v>
      </c>
      <c r="G738" t="str">
        <f ca="1">IF(G737="","","You are safe")</f>
        <v/>
      </c>
    </row>
    <row r="739" spans="1:12" x14ac:dyDescent="0.25">
      <c r="F739" t="str">
        <f ca="1">IF(F736="","",ROUND(LARGE(F734:F736,3),0))</f>
        <v/>
      </c>
    </row>
    <row r="740" spans="1:12" x14ac:dyDescent="0.25">
      <c r="E740" t="str">
        <f ca="1">E734</f>
        <v>Christmas</v>
      </c>
      <c r="F740">
        <f ca="1">COUNTIF(H721:H735,E740)+RAND()/2.2</f>
        <v>5.2657855123651274</v>
      </c>
      <c r="G740" t="str">
        <f ca="1">IF(G721="","","By a vote of "&amp;ROUND(LARGE(F740:F742,1),0)&amp;"-"&amp;ROUND(LARGE(F740:F742,2),0))</f>
        <v>By a vote of 6-5</v>
      </c>
    </row>
    <row r="741" spans="1:12" x14ac:dyDescent="0.25">
      <c r="E741" t="str">
        <f ca="1">E735</f>
        <v>Ramses</v>
      </c>
      <c r="F741">
        <f ca="1">COUNTIF(H721:H735,E741)+RAND()/2.2</f>
        <v>6.1853351463384092</v>
      </c>
      <c r="G741" t="str">
        <f ca="1">IF(G721="","",INDEX(E740:E742,MATCH(LARGE(F740:F742,1),F740:F742,0)))</f>
        <v>Ramses</v>
      </c>
    </row>
    <row r="742" spans="1:12" x14ac:dyDescent="0.25">
      <c r="E742" t="str">
        <f ca="1">E736</f>
        <v/>
      </c>
      <c r="F742" t="str">
        <f ca="1">IF(E742="","",COUNTIF(H721:H735,E742)+RAND()/2.2)</f>
        <v/>
      </c>
      <c r="G742" t="str">
        <f ca="1">IF(G721="","","You have been evicted from the Big Brother House")</f>
        <v>You have been evicted from the Big Brother House</v>
      </c>
    </row>
    <row r="743" spans="1:12" x14ac:dyDescent="0.25">
      <c r="F743">
        <f ca="1">ROUND(LARGE(F740:F742,1),0)</f>
        <v>6</v>
      </c>
    </row>
    <row r="744" spans="1:12" x14ac:dyDescent="0.25">
      <c r="C744" t="str">
        <f ca="1">E561</f>
        <v>Halt</v>
      </c>
      <c r="F744">
        <f ca="1">ROUND(LARGE(F740:F742,2),0)</f>
        <v>5</v>
      </c>
      <c r="G744" t="str">
        <f ca="1">IF(F745="","",F743&amp;"-"&amp;F744&amp;"-"&amp;F745)</f>
        <v/>
      </c>
    </row>
    <row r="745" spans="1:12" x14ac:dyDescent="0.25">
      <c r="C745" t="str">
        <f ca="1">E717</f>
        <v/>
      </c>
      <c r="F745" t="str">
        <f ca="1">IF(E717="Halt","",IF(F742="","",ROUND(LARGE(F740:F742,3),0)))</f>
        <v/>
      </c>
    </row>
    <row r="746" spans="1:12" x14ac:dyDescent="0.25">
      <c r="A746" t="str">
        <f ca="1">IF(C719=G741,C720,C719)</f>
        <v>Alex</v>
      </c>
      <c r="G746" s="2" t="s">
        <v>164</v>
      </c>
    </row>
    <row r="747" spans="1:12" x14ac:dyDescent="0.25">
      <c r="A747" t="str">
        <f t="shared" ref="A747:A758" ca="1" si="87">IF(A746=C720,C721,IF(C720=$G$741,C721,C720))</f>
        <v>Cameron</v>
      </c>
      <c r="C747" t="str">
        <f t="shared" ref="C747:E748" ca="1" si="88">D637</f>
        <v>Raven</v>
      </c>
      <c r="D747" t="str">
        <f t="shared" ca="1" si="88"/>
        <v>Josh</v>
      </c>
      <c r="E747" t="str">
        <f t="shared" ca="1" si="88"/>
        <v>Ramses</v>
      </c>
      <c r="F747" t="str">
        <f ca="1">H662</f>
        <v>Cody</v>
      </c>
      <c r="G747" s="16" t="str">
        <f ca="1">A746</f>
        <v>Alex</v>
      </c>
      <c r="H747" s="16" t="str">
        <f ca="1">A747</f>
        <v>Cameron</v>
      </c>
      <c r="I747" s="16" t="str">
        <f ca="1">A748</f>
        <v>Christmas</v>
      </c>
      <c r="J747" s="16" t="str">
        <f ca="1">A749</f>
        <v>Cody</v>
      </c>
      <c r="K747" s="16" t="str">
        <f ca="1">A750</f>
        <v>Elena</v>
      </c>
      <c r="L747" s="28"/>
    </row>
    <row r="748" spans="1:12" x14ac:dyDescent="0.25">
      <c r="A748" t="str">
        <f t="shared" ca="1" si="87"/>
        <v>Christmas</v>
      </c>
      <c r="C748" t="str">
        <f t="shared" ca="1" si="88"/>
        <v>Christmas</v>
      </c>
      <c r="D748" t="str">
        <f t="shared" ca="1" si="88"/>
        <v>Christmas</v>
      </c>
      <c r="E748" t="str">
        <f t="shared" ca="1" si="88"/>
        <v>Elena</v>
      </c>
      <c r="F748" t="str">
        <f ca="1">H703</f>
        <v>Megan</v>
      </c>
      <c r="G748" s="24" t="str">
        <f ca="1">IF(COUNTIF($C$747:$F$747,G747)=0,"","HOH - "&amp;COUNTIF($C$747:$F$747,G747))</f>
        <v/>
      </c>
      <c r="H748" s="24" t="str">
        <f ca="1">IF(COUNTIF($C$747:$F$747,H747)=0,"","HOH - "&amp;COUNTIF($C$747:$F$747,H747))</f>
        <v/>
      </c>
      <c r="I748" s="24" t="str">
        <f ca="1">IF(COUNTIF($C$747:$F$747,I747)=0,"","HOH - "&amp;COUNTIF($C$747:$F$747,I747))</f>
        <v/>
      </c>
      <c r="J748" s="24" t="str">
        <f ca="1">IF(COUNTIF($C$747:$F$747,J747)=0,"","HOH - "&amp;COUNTIF($C$747:$F$747,J747))</f>
        <v>HOH - 1</v>
      </c>
      <c r="K748" s="24" t="str">
        <f ca="1">IF(COUNTIF($C$747:$F$747,K747)=0,"","HOH - "&amp;COUNTIF($C$747:$F$747,K747))</f>
        <v/>
      </c>
      <c r="L748" s="28"/>
    </row>
    <row r="749" spans="1:12" x14ac:dyDescent="0.25">
      <c r="A749" t="str">
        <f t="shared" ca="1" si="87"/>
        <v>Cody</v>
      </c>
      <c r="G749" s="24" t="str">
        <f ca="1">IF(COUNTIF($C$748:$F$748,G747)=0,"","POV - "&amp;COUNTIF($C$748:$F$748,G747))</f>
        <v/>
      </c>
      <c r="H749" s="24" t="str">
        <f ca="1">IF(COUNTIF($C$748:$F$748,H747)=0,"","POV - "&amp;COUNTIF($C$748:$F$748,H747))</f>
        <v/>
      </c>
      <c r="I749" s="24" t="str">
        <f ca="1">IF(COUNTIF($C$748:$F$748,I747)=0,"","POV - "&amp;COUNTIF($C$748:$F$748,I747))</f>
        <v>POV - 2</v>
      </c>
      <c r="J749" s="24" t="str">
        <f ca="1">IF(COUNTIF($C$748:$F$748,J747)=0,"","POV - "&amp;COUNTIF($C$748:$F$748,J747))</f>
        <v/>
      </c>
      <c r="K749" s="24" t="str">
        <f ca="1">IF(COUNTIF($C$748:$F$748,K747)=0,"","POV - "&amp;COUNTIF($C$748:$F$748,K747))</f>
        <v>POV - 1</v>
      </c>
      <c r="L749" s="28"/>
    </row>
    <row r="750" spans="1:12" x14ac:dyDescent="0.25">
      <c r="A750" t="str">
        <f t="shared" ca="1" si="87"/>
        <v>Elena</v>
      </c>
      <c r="G750" s="16" t="str">
        <f ca="1">A751</f>
        <v>Jason</v>
      </c>
      <c r="H750" s="16" t="str">
        <f ca="1">A752</f>
        <v>Jessica</v>
      </c>
      <c r="I750" s="16" t="str">
        <f ca="1">A753</f>
        <v>Jillian</v>
      </c>
      <c r="J750" s="16" t="str">
        <f ca="1">A754</f>
        <v>Josh</v>
      </c>
      <c r="K750" s="16" t="str">
        <f ca="1">A755</f>
        <v>Mark</v>
      </c>
      <c r="L750" s="16" t="str">
        <f ca="1">A756</f>
        <v>Matt</v>
      </c>
    </row>
    <row r="751" spans="1:12" x14ac:dyDescent="0.25">
      <c r="A751" t="str">
        <f t="shared" ca="1" si="87"/>
        <v>Jason</v>
      </c>
      <c r="G751" s="24" t="str">
        <f t="shared" ref="G751:L751" ca="1" si="89">IF(COUNTIF($C$747:$F$747,G750)=0,"","HOH - "&amp;COUNTIF($C$747:$F$747,G750))</f>
        <v/>
      </c>
      <c r="H751" s="24" t="str">
        <f t="shared" ca="1" si="89"/>
        <v/>
      </c>
      <c r="I751" s="24" t="str">
        <f t="shared" ca="1" si="89"/>
        <v/>
      </c>
      <c r="J751" s="24" t="str">
        <f t="shared" ca="1" si="89"/>
        <v>HOH - 1</v>
      </c>
      <c r="K751" s="24" t="str">
        <f t="shared" ca="1" si="89"/>
        <v/>
      </c>
      <c r="L751" s="24" t="str">
        <f t="shared" ca="1" si="89"/>
        <v/>
      </c>
    </row>
    <row r="752" spans="1:12" x14ac:dyDescent="0.25">
      <c r="A752" t="str">
        <f t="shared" ca="1" si="87"/>
        <v>Jessica</v>
      </c>
      <c r="G752" s="24" t="str">
        <f t="shared" ref="G752:L752" ca="1" si="90">IF(COUNTIF($C$748:$F$748,G750)=0,"","POV - "&amp;COUNTIF($C$748:$F$748,G750))</f>
        <v/>
      </c>
      <c r="H752" s="24" t="str">
        <f t="shared" ca="1" si="90"/>
        <v/>
      </c>
      <c r="I752" s="24" t="str">
        <f t="shared" ca="1" si="90"/>
        <v/>
      </c>
      <c r="J752" s="24" t="str">
        <f t="shared" ca="1" si="90"/>
        <v/>
      </c>
      <c r="K752" s="24" t="str">
        <f t="shared" ca="1" si="90"/>
        <v/>
      </c>
      <c r="L752" s="24" t="str">
        <f t="shared" ca="1" si="90"/>
        <v/>
      </c>
    </row>
    <row r="753" spans="1:12" x14ac:dyDescent="0.25">
      <c r="A753" t="str">
        <f t="shared" ca="1" si="87"/>
        <v>Jillian</v>
      </c>
      <c r="G753" s="16" t="str">
        <f ca="1">A757</f>
        <v>Megan</v>
      </c>
      <c r="H753" s="16" t="str">
        <f ca="1">IF(COUNTIF(C744:C745,"Halt")=1,A758,G741)</f>
        <v>Raven</v>
      </c>
      <c r="I753" s="19" t="str">
        <f ca="1">IF(C744="Halt",G741,I643)</f>
        <v>Ramses</v>
      </c>
      <c r="J753" s="19" t="str">
        <f ca="1">J643</f>
        <v>Paul</v>
      </c>
      <c r="K753" s="30" t="str">
        <f ca="1">K643</f>
        <v>Kevin</v>
      </c>
      <c r="L753" s="19" t="str">
        <f ca="1">L643</f>
        <v>Dominique</v>
      </c>
    </row>
    <row r="754" spans="1:12" x14ac:dyDescent="0.25">
      <c r="A754" t="str">
        <f t="shared" ca="1" si="87"/>
        <v>Josh</v>
      </c>
      <c r="G754" s="24" t="str">
        <f t="shared" ref="G754:L754" ca="1" si="91">IF(COUNTIF($C$747:$F$747,G753)=0,"","HOH - "&amp;COUNTIF($C$747:$F$747,G753))</f>
        <v/>
      </c>
      <c r="H754" s="24" t="str">
        <f t="shared" ca="1" si="91"/>
        <v>HOH - 1</v>
      </c>
      <c r="I754" s="31" t="str">
        <f t="shared" ca="1" si="91"/>
        <v>HOH - 1</v>
      </c>
      <c r="J754" s="31" t="str">
        <f t="shared" ca="1" si="91"/>
        <v/>
      </c>
      <c r="K754" s="32" t="str">
        <f t="shared" ca="1" si="91"/>
        <v/>
      </c>
      <c r="L754" s="31" t="str">
        <f t="shared" ca="1" si="91"/>
        <v/>
      </c>
    </row>
    <row r="755" spans="1:12" x14ac:dyDescent="0.25">
      <c r="A755" t="str">
        <f t="shared" ca="1" si="87"/>
        <v>Mark</v>
      </c>
      <c r="G755" s="26" t="str">
        <f t="shared" ref="G755:L755" ca="1" si="92">IF(COUNTIF($C$748:$F$748,G753)=0,"","POV - "&amp;COUNTIF($C$748:$F$748,G753))</f>
        <v>POV - 1</v>
      </c>
      <c r="H755" s="26" t="str">
        <f t="shared" ca="1" si="92"/>
        <v/>
      </c>
      <c r="I755" s="33" t="str">
        <f t="shared" ca="1" si="92"/>
        <v/>
      </c>
      <c r="J755" s="33" t="str">
        <f t="shared" ca="1" si="92"/>
        <v/>
      </c>
      <c r="K755" s="34" t="str">
        <f t="shared" ca="1" si="92"/>
        <v/>
      </c>
      <c r="L755" s="33" t="str">
        <f t="shared" ca="1" si="92"/>
        <v/>
      </c>
    </row>
    <row r="756" spans="1:12" x14ac:dyDescent="0.25">
      <c r="A756" t="str">
        <f t="shared" ca="1" si="87"/>
        <v>Matt</v>
      </c>
    </row>
    <row r="757" spans="1:12" x14ac:dyDescent="0.25">
      <c r="A757" t="str">
        <f t="shared" ca="1" si="87"/>
        <v>Megan</v>
      </c>
      <c r="G757" s="2" t="s">
        <v>65</v>
      </c>
    </row>
    <row r="758" spans="1:12" x14ac:dyDescent="0.25">
      <c r="A758" t="str">
        <f t="shared" ca="1" si="87"/>
        <v>Raven</v>
      </c>
      <c r="G758" t="s">
        <v>130</v>
      </c>
      <c r="H758" t="str">
        <f ca="1">F747</f>
        <v>Cody</v>
      </c>
    </row>
    <row r="759" spans="1:12" x14ac:dyDescent="0.25">
      <c r="D759" t="str">
        <f ca="1">D648</f>
        <v>Raven</v>
      </c>
      <c r="E759">
        <v>101</v>
      </c>
    </row>
    <row r="760" spans="1:12" x14ac:dyDescent="0.25">
      <c r="A760" t="str">
        <f ca="1">IF(A746=H758,A747,A746)</f>
        <v>Alex</v>
      </c>
      <c r="B760">
        <f t="shared" ref="B760:B770" ca="1" si="93">RAND()</f>
        <v>6.3378694642537758E-2</v>
      </c>
      <c r="D760" t="str">
        <f t="shared" ref="D760:E760" ca="1" si="94">D649</f>
        <v>Jessica</v>
      </c>
      <c r="E760">
        <f t="shared" ca="1" si="94"/>
        <v>82.335943293871836</v>
      </c>
      <c r="G760" t="str">
        <f ca="1">IF(A771="","","12th-")</f>
        <v>12th-</v>
      </c>
      <c r="H760" t="str">
        <f ca="1">IF(G760="","",INDEX(A760:A771,MATCH(LARGE(B760:B771,12),B760:B771,0)))</f>
        <v>Raven</v>
      </c>
    </row>
    <row r="761" spans="1:12" x14ac:dyDescent="0.25">
      <c r="A761" t="str">
        <f t="shared" ref="A761:A771" ca="1" si="95">IF(A760=A747,A748,IF(A747=$H$758,A748,A747))</f>
        <v>Cameron</v>
      </c>
      <c r="B761">
        <f t="shared" ca="1" si="93"/>
        <v>0.70277713107578998</v>
      </c>
      <c r="D761" t="str">
        <f t="shared" ref="D761:E761" ca="1" si="96">D650</f>
        <v>Cody</v>
      </c>
      <c r="E761">
        <f t="shared" ca="1" si="96"/>
        <v>73.03778757742748</v>
      </c>
      <c r="G761" t="s">
        <v>133</v>
      </c>
      <c r="H761" t="str">
        <f ca="1">INDEX(A760:A771,MATCH(LARGE(B760:B771,11),B760:B771,0))</f>
        <v>Alex</v>
      </c>
    </row>
    <row r="762" spans="1:12" x14ac:dyDescent="0.25">
      <c r="A762" t="str">
        <f t="shared" ca="1" si="95"/>
        <v>Christmas</v>
      </c>
      <c r="B762">
        <f t="shared" ca="1" si="93"/>
        <v>0.272083868655702</v>
      </c>
      <c r="D762" t="str">
        <f t="shared" ref="D762:E762" ca="1" si="97">D651</f>
        <v>Ramses</v>
      </c>
      <c r="E762">
        <f t="shared" ca="1" si="97"/>
        <v>61.058885096535313</v>
      </c>
      <c r="G762" t="s">
        <v>134</v>
      </c>
      <c r="H762" t="str">
        <f ca="1">INDEX(A760:A771,MATCH(LARGE(B760:B771,10),B760:B771,0))</f>
        <v>Jillian</v>
      </c>
    </row>
    <row r="763" spans="1:12" x14ac:dyDescent="0.25">
      <c r="A763" t="str">
        <f t="shared" ca="1" si="95"/>
        <v>Elena</v>
      </c>
      <c r="B763">
        <f t="shared" ca="1" si="93"/>
        <v>0.27901786524164307</v>
      </c>
      <c r="D763" t="str">
        <f t="shared" ref="D763:E763" ca="1" si="98">D652</f>
        <v>Elena</v>
      </c>
      <c r="E763">
        <f t="shared" ca="1" si="98"/>
        <v>56.2767320805171</v>
      </c>
      <c r="G763" t="s">
        <v>135</v>
      </c>
      <c r="H763" t="str">
        <f ca="1">INDEX(A760:A771,MATCH(LARGE(B760:B771,9),B760:B771,0))</f>
        <v>Christmas</v>
      </c>
    </row>
    <row r="764" spans="1:12" x14ac:dyDescent="0.25">
      <c r="A764" t="str">
        <f t="shared" ca="1" si="95"/>
        <v>Jason</v>
      </c>
      <c r="B764">
        <f t="shared" ca="1" si="93"/>
        <v>0.68855759851002396</v>
      </c>
      <c r="D764" t="str">
        <f t="shared" ref="D764:E764" ca="1" si="99">D653</f>
        <v>Christmas</v>
      </c>
      <c r="E764">
        <f t="shared" ca="1" si="99"/>
        <v>49.206725336114673</v>
      </c>
      <c r="G764" t="s">
        <v>46</v>
      </c>
      <c r="H764" t="str">
        <f ca="1">INDEX(A760:A771,MATCH(LARGE(B760:B771,8),B760:B771,0))</f>
        <v>Elena</v>
      </c>
    </row>
    <row r="765" spans="1:12" x14ac:dyDescent="0.25">
      <c r="A765" t="str">
        <f t="shared" ca="1" si="95"/>
        <v>Jessica</v>
      </c>
      <c r="B765">
        <f t="shared" ca="1" si="93"/>
        <v>0.68584385758845301</v>
      </c>
      <c r="D765" t="str">
        <f t="shared" ref="D765:E765" ca="1" si="100">D654</f>
        <v>Cameron</v>
      </c>
      <c r="E765">
        <f t="shared" ca="1" si="100"/>
        <v>47.409368445659858</v>
      </c>
      <c r="G765" t="s">
        <v>47</v>
      </c>
      <c r="H765" t="str">
        <f ca="1">INDEX(A760:A771,MATCH(LARGE(B760:B771,7),B760:B771,0))</f>
        <v>Megan</v>
      </c>
    </row>
    <row r="766" spans="1:12" x14ac:dyDescent="0.25">
      <c r="A766" t="str">
        <f t="shared" ca="1" si="95"/>
        <v>Jillian</v>
      </c>
      <c r="B766">
        <f t="shared" ca="1" si="93"/>
        <v>0.13842778851470161</v>
      </c>
      <c r="D766" t="str">
        <f t="shared" ref="D766:E766" ca="1" si="101">D655</f>
        <v>Alex</v>
      </c>
      <c r="E766">
        <f t="shared" ca="1" si="101"/>
        <v>27.072683409527087</v>
      </c>
      <c r="G766" t="s">
        <v>48</v>
      </c>
      <c r="H766" t="str">
        <f ca="1">INDEX(A760:A771,MATCH(LARGE(B760:B771,6),B760:B771,0))</f>
        <v>Matt</v>
      </c>
    </row>
    <row r="767" spans="1:12" x14ac:dyDescent="0.25">
      <c r="A767" t="str">
        <f t="shared" ca="1" si="95"/>
        <v>Josh</v>
      </c>
      <c r="B767">
        <f t="shared" ca="1" si="93"/>
        <v>0.96303693072029262</v>
      </c>
      <c r="D767" t="str">
        <f t="shared" ref="D767:E767" ca="1" si="102">D656</f>
        <v>Jason</v>
      </c>
      <c r="E767">
        <f t="shared" ca="1" si="102"/>
        <v>26.449699295094824</v>
      </c>
      <c r="G767" t="s">
        <v>49</v>
      </c>
      <c r="H767" t="str">
        <f ca="1">INDEX(A760:A771,MATCH(LARGE(B760:B771,5),B760:B771,0))</f>
        <v>Jessica</v>
      </c>
    </row>
    <row r="768" spans="1:12" x14ac:dyDescent="0.25">
      <c r="A768" t="str">
        <f t="shared" ca="1" si="95"/>
        <v>Mark</v>
      </c>
      <c r="B768">
        <f t="shared" ca="1" si="93"/>
        <v>0.90031635111659514</v>
      </c>
      <c r="D768" t="str">
        <f t="shared" ref="D768:E768" ca="1" si="103">D657</f>
        <v>Jillian</v>
      </c>
      <c r="E768">
        <f t="shared" ca="1" si="103"/>
        <v>25.012998050500968</v>
      </c>
      <c r="G768" t="s">
        <v>50</v>
      </c>
      <c r="H768" t="str">
        <f ca="1">INDEX(A760:A771,MATCH(LARGE(B760:B771,4),B760:B771,0))</f>
        <v>Jason</v>
      </c>
    </row>
    <row r="769" spans="1:8" x14ac:dyDescent="0.25">
      <c r="A769" t="str">
        <f t="shared" ca="1" si="95"/>
        <v>Matt</v>
      </c>
      <c r="B769">
        <f t="shared" ca="1" si="93"/>
        <v>0.61740497877248091</v>
      </c>
      <c r="D769" t="str">
        <f t="shared" ref="D769:E769" ca="1" si="104">D658</f>
        <v>Josh</v>
      </c>
      <c r="E769">
        <f t="shared" ca="1" si="104"/>
        <v>16.322321659313264</v>
      </c>
      <c r="F769" t="str">
        <f ca="1">F677</f>
        <v>Jason</v>
      </c>
      <c r="G769" t="s">
        <v>52</v>
      </c>
      <c r="H769" t="str">
        <f ca="1">INDEX(A760:A771,MATCH(LARGE(B760:B771,3),B760:B771,0))</f>
        <v>Cameron</v>
      </c>
    </row>
    <row r="770" spans="1:8" x14ac:dyDescent="0.25">
      <c r="A770" t="str">
        <f t="shared" ca="1" si="95"/>
        <v>Megan</v>
      </c>
      <c r="B770">
        <f t="shared" ca="1" si="93"/>
        <v>0.36155150329848407</v>
      </c>
      <c r="D770" t="str">
        <f t="shared" ref="D770:E770" ca="1" si="105">D659</f>
        <v>Matt</v>
      </c>
      <c r="E770">
        <f t="shared" ca="1" si="105"/>
        <v>16.041606218120869</v>
      </c>
      <c r="F770">
        <f ca="1">F678</f>
        <v>1</v>
      </c>
      <c r="G770" t="s">
        <v>53</v>
      </c>
      <c r="H770" t="str">
        <f ca="1">INDEX(A760:A771,MATCH(LARGE(B760:B771,2),B760:B771,0))</f>
        <v>Mark</v>
      </c>
    </row>
    <row r="771" spans="1:8" x14ac:dyDescent="0.25">
      <c r="A771" t="str">
        <f t="shared" ca="1" si="95"/>
        <v>Raven</v>
      </c>
      <c r="B771">
        <f ca="1">IF(A771="","",RAND())</f>
        <v>5.4309573558751212E-2</v>
      </c>
      <c r="D771" t="str">
        <f t="shared" ref="D771:E772" ca="1" si="106">D660</f>
        <v>Mark</v>
      </c>
      <c r="E771">
        <f t="shared" ca="1" si="106"/>
        <v>14.404075662040396</v>
      </c>
      <c r="F771" t="str">
        <f ca="1">G741</f>
        <v>Ramses</v>
      </c>
      <c r="G771" t="s">
        <v>54</v>
      </c>
      <c r="H771" t="str">
        <f ca="1">INDEX(A760:A771,MATCH(LARGE(B760:B771,1),B760:B771,0))</f>
        <v>Josh</v>
      </c>
    </row>
    <row r="772" spans="1:8" x14ac:dyDescent="0.25">
      <c r="D772" t="str">
        <f t="shared" ca="1" si="106"/>
        <v>Megan</v>
      </c>
      <c r="E772">
        <f t="shared" ca="1" si="106"/>
        <v>10.140565248618941</v>
      </c>
      <c r="F772" t="str">
        <f ca="1">H771</f>
        <v>Josh</v>
      </c>
      <c r="G772" t="str">
        <f ca="1">"Congratulations, "&amp;H771</f>
        <v>Congratulations, Josh</v>
      </c>
    </row>
    <row r="773" spans="1:8" x14ac:dyDescent="0.25">
      <c r="B773" s="4">
        <f>$D$374</f>
        <v>50</v>
      </c>
      <c r="C773">
        <f ca="1">E777</f>
        <v>4</v>
      </c>
    </row>
    <row r="774" spans="1:8" x14ac:dyDescent="0.25">
      <c r="C774" t="str">
        <f ca="1">C665</f>
        <v>Jessica</v>
      </c>
      <c r="G774" s="2" t="s">
        <v>85</v>
      </c>
    </row>
    <row r="775" spans="1:8" x14ac:dyDescent="0.25">
      <c r="C775" t="str">
        <f ca="1">F776</f>
        <v/>
      </c>
      <c r="G775" s="1" t="str">
        <f ca="1">H771&amp;" must select "&amp;E777&amp;" have nots for the week"</f>
        <v>Josh must select 4 have nots for the week</v>
      </c>
    </row>
    <row r="776" spans="1:8" x14ac:dyDescent="0.25">
      <c r="A776" t="str">
        <f ca="1">INDEX(Sheet4!B263:R263,MATCH(SMALL(Sheet4!B264:R264,1),Sheet4!B264:R264,0))</f>
        <v>Elena</v>
      </c>
      <c r="B776">
        <f ca="1">IF($I$26="On",SMALL(Sheet4!B264:R264,1),RAND())</f>
        <v>1.1992803304611785</v>
      </c>
      <c r="C776">
        <f ca="1">IF(COUNTIF(C774:C775,A776)&gt;=1,"",RAND())</f>
        <v>0.53510279493617818</v>
      </c>
      <c r="D776">
        <f ca="1">IF(C776="","",0.5)</f>
        <v>0.5</v>
      </c>
      <c r="E776" s="1"/>
      <c r="F776" t="str">
        <f ca="1">IF(E777=3,F677,"")</f>
        <v/>
      </c>
      <c r="G776" s="1" t="str">
        <f ca="1">IF(F776="","",F776&amp;" is a have not for selecting the wrong box last week")</f>
        <v/>
      </c>
    </row>
    <row r="777" spans="1:8" x14ac:dyDescent="0.25">
      <c r="A777" t="str">
        <f ca="1">INDEX(Sheet4!B263:R263,MATCH(SMALL(Sheet4!B264:R264,2),Sheet4!B264:R264,0))</f>
        <v>Christmas</v>
      </c>
      <c r="B777">
        <f ca="1">IF($I$26="On",SMALL(Sheet4!B264:R264,2),RAND())</f>
        <v>15.17715993671249</v>
      </c>
      <c r="C777">
        <f ca="1">IF(COUNTIF(C774:C775,A777)&gt;=1,"",RAND())</f>
        <v>0.32105914149423098</v>
      </c>
      <c r="D777">
        <f ca="1">IF(C777="","",IF(D776="",0.5,SMALL(D776,1)+1))</f>
        <v>1.5</v>
      </c>
      <c r="E777" s="4">
        <f ca="1">IF(F770=1,4,IF(COUNTIF(F771:F773,F769)=1,4,3))</f>
        <v>4</v>
      </c>
      <c r="F777" t="str">
        <f ca="1">INDEX(A776:A788,MATCH(SMALL(C776:C788,1),C776:C788,0))</f>
        <v>Alex</v>
      </c>
      <c r="G777" s="1" t="s">
        <v>136</v>
      </c>
    </row>
    <row r="778" spans="1:8" x14ac:dyDescent="0.25">
      <c r="A778" t="str">
        <f ca="1">INDEX(Sheet4!B263:R263,MATCH(SMALL(Sheet4!B264:R264,3),Sheet4!B264:R264,0))</f>
        <v>Mark</v>
      </c>
      <c r="B778">
        <f ca="1">IF($I$26="On",SMALL(Sheet4!B264:R264,3),RAND())</f>
        <v>15.422138284256448</v>
      </c>
      <c r="C778">
        <f ca="1">IF(COUNTIF(C774:C775,A778)&gt;=1,"",RAND())</f>
        <v>0.51404039755633568</v>
      </c>
      <c r="D778">
        <f ca="1">IF(C778="","",IF(COUNTIF(D776:D777,"")=2,0.5,LARGE(D776:D777,1)+1))</f>
        <v>2.5</v>
      </c>
      <c r="F778" t="str">
        <f ca="1">INDEX(A776:A788,MATCH(SMALL(C776:C788,2),C776:C788,0))</f>
        <v>Christmas</v>
      </c>
      <c r="G778" s="1" t="str">
        <f ca="1">IF(F776="",F777&amp;", "&amp;F778&amp;", "&amp;F779&amp;" and "&amp;F780,F776&amp;", "&amp;F777&amp;", "&amp;F778&amp;" and "&amp;F779)</f>
        <v>Alex, Christmas, Jillian and Mark</v>
      </c>
    </row>
    <row r="779" spans="1:8" x14ac:dyDescent="0.25">
      <c r="A779" t="str">
        <f ca="1">INDEX(Sheet4!B263:R263,MATCH(SMALL(Sheet4!B264:R264,4),Sheet4!B264:R264,0))</f>
        <v>Raven</v>
      </c>
      <c r="B779">
        <f ca="1">IF($I$26="On",SMALL(Sheet4!B264:R264,4),RAND())</f>
        <v>16.322321659313264</v>
      </c>
      <c r="C779">
        <f ca="1">IF(COUNTIF(C774:C775,A779)&gt;=1,"",IF($I$26="On",IF(LARGE(D776:D778,1)+1&lt;=C773,RAND(),IF(B779&gt;=B773,"",RAND())),RAND()))</f>
        <v>0.73732864481714022</v>
      </c>
      <c r="D779">
        <f ca="1">IF(C779="","",LARGE(D776:D778,1)+1)</f>
        <v>3.5</v>
      </c>
      <c r="F779" t="str">
        <f ca="1">INDEX(A776:A788,MATCH(SMALL(C776:C788,3),C776:C788,0))</f>
        <v>Jillian</v>
      </c>
      <c r="G779" s="1"/>
    </row>
    <row r="780" spans="1:8" x14ac:dyDescent="0.25">
      <c r="A780" t="str">
        <f ca="1">INDEX(Sheet4!B263:R263,MATCH(SMALL(Sheet4!B264:R264,5),Sheet4!B264:R264,0))</f>
        <v>Jessica</v>
      </c>
      <c r="B780">
        <f ca="1">IF($I$26="On",SMALL(Sheet4!B264:R264,5),RAND())</f>
        <v>27.107808049853908</v>
      </c>
      <c r="C780" t="str">
        <f ca="1">IF(COUNTIF($C$774:$C$775,A780)&gt;=1,"",IF($I$26="On",IF(LARGE($D$776:D779,1)+1&lt;=$C$773,RAND(),IF(B780&gt;=$B$773,"",RAND())),RAND()))</f>
        <v/>
      </c>
      <c r="D780" t="str">
        <f ca="1">IF(C780="","",LARGE(D777:D779,1)+1)</f>
        <v/>
      </c>
      <c r="F780" t="str">
        <f ca="1">IF(E777=3,"",INDEX(A776:A788,MATCH(SMALL(C776:C788,4),C776:C788,0)))</f>
        <v>Mark</v>
      </c>
      <c r="G780" s="2" t="s">
        <v>137</v>
      </c>
    </row>
    <row r="781" spans="1:8" x14ac:dyDescent="0.25">
      <c r="A781" t="str">
        <f ca="1">INDEX(Sheet4!B263:R263,MATCH(SMALL(Sheet4!B264:R264,6),Sheet4!B264:R264,0))</f>
        <v>Jason</v>
      </c>
      <c r="B781">
        <f ca="1">IF($I$26="On",SMALL(Sheet4!B264:R264,6),RAND())</f>
        <v>36.113202703490856</v>
      </c>
      <c r="C781">
        <f ca="1">IF(COUNTIF($C$774:$C$775,A781)&gt;=1,"",IF($I$26="On",IF(LARGE($D$776:D780,1)+1&lt;=$C$773,RAND(),IF(B781&gt;=$B$773,"",RAND())),RAND()))</f>
        <v>0.90371893560928196</v>
      </c>
      <c r="D781">
        <f ca="1">IF(C781="","",LARGE(D778:D780,1)+1)</f>
        <v>4.5</v>
      </c>
      <c r="F781" t="str">
        <f ca="1">IF(F776="","",RAND())</f>
        <v/>
      </c>
      <c r="G781" s="1" t="str">
        <f ca="1">F786&amp;" requests the key"</f>
        <v>Alex requests the key</v>
      </c>
    </row>
    <row r="782" spans="1:8" x14ac:dyDescent="0.25">
      <c r="A782" t="str">
        <f ca="1">INDEX(Sheet4!B263:R263,MATCH(SMALL(Sheet4!B264:R264,7),Sheet4!B264:R264,0))</f>
        <v>Megan</v>
      </c>
      <c r="B782">
        <f ca="1">IF($I$26="On",SMALL(Sheet4!B264:R264,7),RAND())</f>
        <v>39.032209215594364</v>
      </c>
      <c r="C782">
        <f ca="1">IF(COUNTIF($C$774:$C$775,A782)&gt;=1,"",IF($I$26="On",IF(LARGE($D$776:D781,1)+1&lt;=$C$773,RAND(),IF(B782&gt;=$B$773,"",RAND())),RAND()))</f>
        <v>0.80233228560365344</v>
      </c>
      <c r="F782">
        <f ca="1">IF(F777="","",RAND())</f>
        <v>0.90300137957974236</v>
      </c>
      <c r="G782" s="1" t="str">
        <f ca="1">IF(F787=1,F786&amp;" is now a Have for the week",F786&amp;" is now a Have Not next week as well")</f>
        <v>Alex is now a Have for the week</v>
      </c>
    </row>
    <row r="783" spans="1:8" x14ac:dyDescent="0.25">
      <c r="A783" t="str">
        <f ca="1">INDEX(Sheet4!B263:R263,MATCH(SMALL(Sheet4!B264:R264,8),Sheet4!B264:R264,0))</f>
        <v>Cameron</v>
      </c>
      <c r="B783">
        <f ca="1">IF($I$26="On",SMALL(Sheet4!B264:R264,8),RAND())</f>
        <v>41.253573787864298</v>
      </c>
      <c r="C783">
        <f ca="1">IF(COUNTIF($C$774:$C$775,A783)&gt;=1,"",IF($I$26="On",IF(B783&gt;=$B$773,"",RAND()),RAND()))</f>
        <v>0.85360139642626764</v>
      </c>
      <c r="F783">
        <f ca="1">IF(F778="","",RAND())</f>
        <v>0.12962926358529936</v>
      </c>
    </row>
    <row r="784" spans="1:8" x14ac:dyDescent="0.25">
      <c r="A784" t="str">
        <f ca="1">INDEX(Sheet4!B263:R263,MATCH(SMALL(Sheet4!B264:R264,9),Sheet4!B264:R264,0))</f>
        <v>Jillian</v>
      </c>
      <c r="B784">
        <f ca="1">IF($I$26="On",SMALL(Sheet4!B264:R264,9),RAND())</f>
        <v>43.203446070435945</v>
      </c>
      <c r="C784">
        <f ca="1">IF(COUNTIF($C$774:$C$775,A784)&gt;=1,"",IF($I$26="On",IF(B784&gt;=$B$773,"",RAND()),RAND()))</f>
        <v>0.44077410897381053</v>
      </c>
      <c r="F784">
        <f ca="1">IF(F779="","",RAND())</f>
        <v>0.13569131744537211</v>
      </c>
      <c r="G784" s="2" t="s">
        <v>167</v>
      </c>
    </row>
    <row r="785" spans="1:8" x14ac:dyDescent="0.25">
      <c r="A785" t="str">
        <f ca="1">INDEX(Sheet4!B263:R263,MATCH(SMALL(Sheet4!B264:R264,10),Sheet4!B264:R264,0))</f>
        <v>Alex</v>
      </c>
      <c r="B785">
        <f ca="1">IF($I$26="On",SMALL(Sheet4!B264:R264,10),RAND())</f>
        <v>43.418986695772595</v>
      </c>
      <c r="C785">
        <f ca="1">IF(COUNTIF($C$774:$C$775,A785)&gt;=1,"",IF($I$26="On",IF(B785&gt;=$B$773,"",RAND()),RAND()))</f>
        <v>0.21831708721586052</v>
      </c>
      <c r="F785">
        <f ca="1">IF(F780="","",RAND())</f>
        <v>0.55210892306854731</v>
      </c>
      <c r="G785" t="s">
        <v>168</v>
      </c>
    </row>
    <row r="786" spans="1:8" x14ac:dyDescent="0.25">
      <c r="A786" t="str">
        <f ca="1">INDEX(Sheet4!B263:R263,MATCH(SMALL(Sheet4!B264:R264,11),Sheet4!B264:R264,0))</f>
        <v>Cody</v>
      </c>
      <c r="B786">
        <f ca="1">IF($I$26="On",SMALL(Sheet4!B264:R264,11),RAND())</f>
        <v>68.054883665149632</v>
      </c>
      <c r="C786" t="str">
        <f ca="1">IF(COUNTIF($C$774:$C$775,A786)&gt;=1,"",IF($I$26="On",IF(B786&gt;=$B$773,"",RAND()),RAND()))</f>
        <v/>
      </c>
      <c r="F786" t="str">
        <f ca="1">INDEX(F776:F780,MATCH(LARGE(F781:F785,1),F781:F785,0))</f>
        <v>Alex</v>
      </c>
      <c r="G786" t="s">
        <v>169</v>
      </c>
    </row>
    <row r="787" spans="1:8" x14ac:dyDescent="0.25">
      <c r="A787" t="str">
        <f ca="1">IF(COUNTIF(C744:C745,"Halt")=0,"",INDEX(Sheet4!B263:R263,MATCH(SMALL(Sheet4!B264:R264,12),Sheet4!B264:R264,0)))</f>
        <v>Matt</v>
      </c>
      <c r="B787">
        <f ca="1">IF(A787="","",IF($I$26="On",SMALL(Sheet4!B264:R264,12),RAND()))</f>
        <v>68.143352648752639</v>
      </c>
      <c r="C787" t="str">
        <f ca="1">IF(COUNTIF($C$774:$C$775,A787)&gt;=1,"",IF($I$26="On",IF(B787&gt;=$B$773,"",RAND()),RAND()))</f>
        <v/>
      </c>
      <c r="F787">
        <f ca="1">RANDBETWEEN(1,2)</f>
        <v>1</v>
      </c>
      <c r="G787" t="s">
        <v>170</v>
      </c>
    </row>
    <row r="788" spans="1:8" x14ac:dyDescent="0.25">
      <c r="G788" t="s">
        <v>171</v>
      </c>
    </row>
    <row r="789" spans="1:8" x14ac:dyDescent="0.25">
      <c r="G789" t="s">
        <v>172</v>
      </c>
    </row>
    <row r="791" spans="1:8" x14ac:dyDescent="0.25">
      <c r="A791" t="str">
        <f ca="1">H758</f>
        <v>Cody</v>
      </c>
      <c r="B791">
        <f ca="1">RAND()</f>
        <v>0.88937664860890686</v>
      </c>
      <c r="C791" t="str">
        <f ca="1">IF(B791&lt;=SMALL($B$791:$B$802,B803),"Yes","No")</f>
        <v>No</v>
      </c>
      <c r="D791">
        <f ca="1">RAND()</f>
        <v>0.37434171972552754</v>
      </c>
      <c r="F791" t="str">
        <f ca="1">INDEX(A791:A802,MATCH(SMALL(D791:D802,1),D791:D802,0))</f>
        <v>Elena</v>
      </c>
      <c r="G791" t="str">
        <f t="shared" ref="G791:G801" ca="1" si="107">F791&amp;"-"</f>
        <v>Elena-</v>
      </c>
      <c r="H791" t="str">
        <f ca="1">INDEX(C791:C802,MATCH(F791,A791:A802,0))</f>
        <v>No</v>
      </c>
    </row>
    <row r="792" spans="1:8" x14ac:dyDescent="0.25">
      <c r="A792" t="str">
        <f t="shared" ref="A792:A802" ca="1" si="108">H760</f>
        <v>Raven</v>
      </c>
      <c r="B792">
        <f ca="1">IF(A792="","",RAND())</f>
        <v>3.3820635051048042E-2</v>
      </c>
      <c r="C792" t="str">
        <f ca="1">IF(B792="","",IF(B792&lt;=SMALL($B$791:$B$802,$B$803),"Yes","No"))</f>
        <v>Yes</v>
      </c>
      <c r="D792">
        <f t="shared" ref="D792:D802" ca="1" si="109">IF(A792="","",RAND())</f>
        <v>0.71517103951315353</v>
      </c>
      <c r="F792" t="str">
        <f ca="1">INDEX(A791:A802,MATCH(SMALL(D791:D802,2),D791:D802,0))</f>
        <v>Jessica</v>
      </c>
      <c r="G792" t="str">
        <f t="shared" ca="1" si="107"/>
        <v>Jessica-</v>
      </c>
      <c r="H792" t="str">
        <f t="shared" ref="H792:H801" ca="1" si="110">INDEX($C$791:$C$802,MATCH(F792,$A$791:$A$802,0))</f>
        <v>Yes</v>
      </c>
    </row>
    <row r="793" spans="1:8" x14ac:dyDescent="0.25">
      <c r="A793" t="str">
        <f t="shared" ca="1" si="108"/>
        <v>Alex</v>
      </c>
      <c r="B793">
        <f t="shared" ref="B793:B802" ca="1" si="111">RAND()</f>
        <v>8.3560971693673713E-2</v>
      </c>
      <c r="C793" t="str">
        <f t="shared" ref="C793:C802" ca="1" si="112">IF(B793&lt;=SMALL($B$791:$B$802,$B$803),"Yes","No")</f>
        <v>Yes</v>
      </c>
      <c r="D793">
        <f t="shared" ca="1" si="109"/>
        <v>0.58597255144409999</v>
      </c>
      <c r="F793" t="str">
        <f ca="1">INDEX(A791:A802,MATCH(SMALL(D791:D802,3),D791:D802,0))</f>
        <v>Matt</v>
      </c>
      <c r="G793" t="str">
        <f t="shared" ca="1" si="107"/>
        <v>Matt-</v>
      </c>
      <c r="H793" t="str">
        <f t="shared" ca="1" si="110"/>
        <v>Yes</v>
      </c>
    </row>
    <row r="794" spans="1:8" x14ac:dyDescent="0.25">
      <c r="A794" t="str">
        <f t="shared" ca="1" si="108"/>
        <v>Jillian</v>
      </c>
      <c r="B794">
        <f t="shared" ca="1" si="111"/>
        <v>0.35499882645989367</v>
      </c>
      <c r="C794" t="str">
        <f t="shared" ca="1" si="112"/>
        <v>No</v>
      </c>
      <c r="D794">
        <f t="shared" ca="1" si="109"/>
        <v>0.66351436059006175</v>
      </c>
      <c r="F794" t="str">
        <f ca="1">INDEX(A791:A802,MATCH(SMALL(D791:D802,4),D791:D802,0))</f>
        <v>Cody</v>
      </c>
      <c r="G794" t="str">
        <f t="shared" ca="1" si="107"/>
        <v>Cody-</v>
      </c>
      <c r="H794" t="str">
        <f t="shared" ca="1" si="110"/>
        <v>No</v>
      </c>
    </row>
    <row r="795" spans="1:8" x14ac:dyDescent="0.25">
      <c r="A795" t="str">
        <f t="shared" ca="1" si="108"/>
        <v>Christmas</v>
      </c>
      <c r="B795">
        <f t="shared" ca="1" si="111"/>
        <v>0.25226931592828072</v>
      </c>
      <c r="C795" t="str">
        <f t="shared" ca="1" si="112"/>
        <v>Yes</v>
      </c>
      <c r="D795">
        <f t="shared" ca="1" si="109"/>
        <v>0.40346871845442478</v>
      </c>
      <c r="F795" t="str">
        <f ca="1">INDEX(A791:A802,MATCH(SMALL(D791:D802,5),D791:D802,0))</f>
        <v>Christmas</v>
      </c>
      <c r="G795" t="str">
        <f t="shared" ca="1" si="107"/>
        <v>Christmas-</v>
      </c>
      <c r="H795" t="str">
        <f t="shared" ca="1" si="110"/>
        <v>Yes</v>
      </c>
    </row>
    <row r="796" spans="1:8" x14ac:dyDescent="0.25">
      <c r="A796" t="str">
        <f t="shared" ca="1" si="108"/>
        <v>Elena</v>
      </c>
      <c r="B796">
        <f t="shared" ca="1" si="111"/>
        <v>0.45871961344611722</v>
      </c>
      <c r="C796" t="str">
        <f t="shared" ca="1" si="112"/>
        <v>No</v>
      </c>
      <c r="D796">
        <f t="shared" ca="1" si="109"/>
        <v>0.17766939682181415</v>
      </c>
      <c r="F796" t="str">
        <f ca="1">INDEX(A791:A802,MATCH(SMALL(D791:D802,6),D791:D802,0))</f>
        <v>Megan</v>
      </c>
      <c r="G796" t="str">
        <f t="shared" ca="1" si="107"/>
        <v>Megan-</v>
      </c>
      <c r="H796" t="str">
        <f t="shared" ca="1" si="110"/>
        <v>No</v>
      </c>
    </row>
    <row r="797" spans="1:8" x14ac:dyDescent="0.25">
      <c r="A797" t="str">
        <f t="shared" ca="1" si="108"/>
        <v>Megan</v>
      </c>
      <c r="B797">
        <f t="shared" ca="1" si="111"/>
        <v>0.25841191200834468</v>
      </c>
      <c r="C797" t="str">
        <f t="shared" ca="1" si="112"/>
        <v>No</v>
      </c>
      <c r="D797">
        <f t="shared" ca="1" si="109"/>
        <v>0.49208846268931627</v>
      </c>
      <c r="F797" t="str">
        <f ca="1">INDEX(A791:A802,MATCH(SMALL(D791:D802,7),D791:D802,0))</f>
        <v>Mark</v>
      </c>
      <c r="G797" t="str">
        <f t="shared" ca="1" si="107"/>
        <v>Mark-</v>
      </c>
      <c r="H797" t="str">
        <f t="shared" ca="1" si="110"/>
        <v>Yes</v>
      </c>
    </row>
    <row r="798" spans="1:8" x14ac:dyDescent="0.25">
      <c r="A798" t="str">
        <f t="shared" ca="1" si="108"/>
        <v>Matt</v>
      </c>
      <c r="B798">
        <f t="shared" ca="1" si="111"/>
        <v>0.21929971619500321</v>
      </c>
      <c r="C798" t="str">
        <f t="shared" ca="1" si="112"/>
        <v>Yes</v>
      </c>
      <c r="D798">
        <f t="shared" ca="1" si="109"/>
        <v>0.33371771642704562</v>
      </c>
      <c r="F798" t="str">
        <f ca="1">INDEX(A791:A802,MATCH(SMALL(D791:D802,8),D791:D802,0))</f>
        <v>Alex</v>
      </c>
      <c r="G798" t="str">
        <f t="shared" ca="1" si="107"/>
        <v>Alex-</v>
      </c>
      <c r="H798" t="str">
        <f t="shared" ca="1" si="110"/>
        <v>Yes</v>
      </c>
    </row>
    <row r="799" spans="1:8" x14ac:dyDescent="0.25">
      <c r="A799" t="str">
        <f t="shared" ca="1" si="108"/>
        <v>Jessica</v>
      </c>
      <c r="B799">
        <f t="shared" ca="1" si="111"/>
        <v>0.12504796959796427</v>
      </c>
      <c r="C799" t="str">
        <f t="shared" ca="1" si="112"/>
        <v>Yes</v>
      </c>
      <c r="D799">
        <f t="shared" ca="1" si="109"/>
        <v>0.33283818697231127</v>
      </c>
      <c r="F799" t="str">
        <f ca="1">INDEX(A791:A802,MATCH(SMALL(D791:D802,9),D791:D802,0))</f>
        <v>Jillian</v>
      </c>
      <c r="G799" t="str">
        <f t="shared" ca="1" si="107"/>
        <v>Jillian-</v>
      </c>
      <c r="H799" t="str">
        <f t="shared" ca="1" si="110"/>
        <v>No</v>
      </c>
    </row>
    <row r="800" spans="1:8" x14ac:dyDescent="0.25">
      <c r="A800" t="str">
        <f t="shared" ca="1" si="108"/>
        <v>Jason</v>
      </c>
      <c r="B800">
        <f t="shared" ca="1" si="111"/>
        <v>0.93260675408695848</v>
      </c>
      <c r="C800" t="str">
        <f t="shared" ca="1" si="112"/>
        <v>No</v>
      </c>
      <c r="D800">
        <f t="shared" ca="1" si="109"/>
        <v>0.94239109571242197</v>
      </c>
      <c r="F800" t="str">
        <f ca="1">INDEX(A791:A802,MATCH(SMALL(D791:D802,10),D791:D802,0))</f>
        <v>Raven</v>
      </c>
      <c r="G800" t="str">
        <f t="shared" ca="1" si="107"/>
        <v>Raven-</v>
      </c>
      <c r="H800" t="str">
        <f t="shared" ca="1" si="110"/>
        <v>Yes</v>
      </c>
    </row>
    <row r="801" spans="1:12" x14ac:dyDescent="0.25">
      <c r="A801" t="str">
        <f t="shared" ca="1" si="108"/>
        <v>Cameron</v>
      </c>
      <c r="B801">
        <f t="shared" ca="1" si="111"/>
        <v>0.8948969127898091</v>
      </c>
      <c r="C801" t="str">
        <f t="shared" ca="1" si="112"/>
        <v>No</v>
      </c>
      <c r="D801">
        <f t="shared" ca="1" si="109"/>
        <v>0.9643396462252708</v>
      </c>
      <c r="F801" t="str">
        <f ca="1">INDEX(A791:A802,MATCH(SMALL(D791:D802,11),D791:D802,0))</f>
        <v>Jason</v>
      </c>
      <c r="G801" t="str">
        <f t="shared" ca="1" si="107"/>
        <v>Jason-</v>
      </c>
      <c r="H801" t="str">
        <f t="shared" ca="1" si="110"/>
        <v>No</v>
      </c>
    </row>
    <row r="802" spans="1:12" x14ac:dyDescent="0.25">
      <c r="A802" t="str">
        <f t="shared" ca="1" si="108"/>
        <v>Mark</v>
      </c>
      <c r="B802">
        <f t="shared" ca="1" si="111"/>
        <v>6.810213009495214E-2</v>
      </c>
      <c r="C802" t="str">
        <f t="shared" ca="1" si="112"/>
        <v>Yes</v>
      </c>
      <c r="D802">
        <f t="shared" ca="1" si="109"/>
        <v>0.50457431160534827</v>
      </c>
      <c r="F802" t="str">
        <f ca="1">IF(A792="","",INDEX(A791:A802,MATCH(SMALL(D791:D802,12),D791:D802,0)))</f>
        <v>Cameron</v>
      </c>
      <c r="G802" t="str">
        <f ca="1">IF(F802="","",F802&amp;"-")</f>
        <v>Cameron-</v>
      </c>
      <c r="H802" t="str">
        <f ca="1">IF(F802="","",INDEX($C$791:$C$802,MATCH(F802,$A$791:$A$802,0)))</f>
        <v>No</v>
      </c>
    </row>
    <row r="803" spans="1:12" x14ac:dyDescent="0.25">
      <c r="B803">
        <f ca="1">RANDBETWEEN(2,IF(A792="",11,12))</f>
        <v>6</v>
      </c>
    </row>
    <row r="804" spans="1:12" x14ac:dyDescent="0.25">
      <c r="D804">
        <f ca="1">SMALL(D805:D816,1)</f>
        <v>7</v>
      </c>
      <c r="G804" s="29" t="str">
        <f ca="1">INDEX(C805:C816,MATCH(SMALL(D805:D816,1),D805:D816,0))</f>
        <v>Alex</v>
      </c>
      <c r="H804" s="29" t="str">
        <f ca="1">INDEX(C805:C816,MATCH(SMALL(D805:D816,2),D805:D816,0))</f>
        <v>Christmas</v>
      </c>
      <c r="I804" s="29" t="str">
        <f ca="1">IF(B803&lt;=2,"",IF(B803=5,"",INDEX(C805:C816,MATCH(SMALL(D805:D816,3),D805:D816,0))))</f>
        <v>Jessica</v>
      </c>
      <c r="J804" s="29" t="str">
        <f ca="1">IF(B803&lt;=3,"",IF(AND(B803&gt;=5,B803&lt;=7),"",INDEX(C805:C816,MATCH(SMALL(D805:D816,4),D805:D816,0))))</f>
        <v/>
      </c>
      <c r="K804" s="29" t="str">
        <f ca="1">IF(B803&lt;=9,"",INDEX(C805:C816,MATCH(SMALL(D805:D816,5),D805:D816,0)))</f>
        <v/>
      </c>
      <c r="L804" s="29" t="str">
        <f ca="1">IF(B803=12,INDEX(C805:C816,MATCH(SMALL(D805:D816,6),D805:D816,0)),"")</f>
        <v/>
      </c>
    </row>
    <row r="805" spans="1:12" x14ac:dyDescent="0.25">
      <c r="C805" t="str">
        <f ca="1">INDEX(A791:A802,MATCH(SMALL(B791:B802,1),B791:B802,0))</f>
        <v>Raven</v>
      </c>
      <c r="D805">
        <f ca="1">COUNTIF($C$805:$C$816,"&lt;="&amp;C805)</f>
        <v>12</v>
      </c>
      <c r="E805">
        <f ca="1">RAND()</f>
        <v>0.15818750659064951</v>
      </c>
      <c r="G805" s="29" t="str">
        <f ca="1">IF(B803&lt;=4,"",IF(B803=5,INDEX(C805:C816,MATCH(SMALL(D805:D816,3),D805:D816,0)),IF(OR(B803=6,B803=7),INDEX(C805:C816,MATCH(SMALL(D805:D816,4),D805:D816,0)),IF(OR(B803=8,B803=9),INDEX(C805:C816,MATCH(SMALL(D805:D816,5),D805:D816,0)),IF(OR(B803=10,B803=11),INDEX(C805:C816,MATCH(SMALL(D805:D816,6),D805:D816,0)),INDEX(C805:C816,MATCH(SMALL(D805:D816,7),D805:D816,0)))))))</f>
        <v>Mark</v>
      </c>
      <c r="H805" s="29" t="str">
        <f ca="1">IF(B803&lt;=4,"",IF(B803=5,INDEX(C805:C816,MATCH(SMALL(D805:D816,4),D805:D816,0)),IF(OR(B803=6,B803=7),INDEX(C805:C816,MATCH(SMALL(D805:D816,5),D805:D816,0)),IF(OR(B803=8,B803=9),INDEX(C805:C816,MATCH(SMALL(D805:D816,6),D805:D816,0)),IF(OR(B803=10,B803=11),INDEX(C805:C816,MATCH(SMALL(D805:D816,7),D805:D816,0)),INDEX(C805:C816,MATCH(SMALL(D805:D816,8),D805:D816,0)))))))</f>
        <v>Matt</v>
      </c>
      <c r="I805" s="29" t="str">
        <f ca="1">IF(B803&lt;=4,"",IF(B803=5,INDEX(C805:C816,MATCH(SMALL(D805:D816,5),D805:D816,0)),IF(OR(B803=6,B803=7),INDEX(C805:C816,MATCH(SMALL(D805:D816,6),D805:D816,0)),IF(OR(B803=8,B803=9),INDEX(C805:C816,MATCH(SMALL(D805:D816,7),D805:D816,0)),IF(OR(B803=10,B803=11),INDEX(C805:C816,MATCH(SMALL(D805:D816,8),D805:D816,0)),INDEX(C805:C816,MATCH(SMALL(D805:D816,9),D805:D816,0)))))))</f>
        <v>Raven</v>
      </c>
      <c r="J805" s="29" t="str">
        <f ca="1">IF(B803&lt;=6,"",IF(B803=7,INDEX(C805:C816,MATCH(SMALL(D805:D816,7),D805:D816,0)),IF(OR(B803=8,B803=9),INDEX(C805:C816,MATCH(SMALL(D805:D816,8),D805:D816,0)),IF(OR(B803=10,B803=11),INDEX(C805:C816,MATCH(SMALL(D805:D816,9),D805:D816,0)),INDEX(C805:C816,MATCH(SMALL(D805:D816,10),D805:D816,0))))))</f>
        <v/>
      </c>
      <c r="K805" s="29" t="str">
        <f ca="1">IF(B803&lt;=8,"",IF(B803=9,INDEX(C805:C816,MATCH(SMALL(D805:D816,9),D805:D816,0)),IF(OR(B803=10,B803=11),INDEX(C805:C816,MATCH(SMALL(D805:D816,10),D805:D816,0)),INDEX(C805:C816,MATCH(SMALL(D805:D816,11),D805:D816,0)))))</f>
        <v/>
      </c>
      <c r="L805" s="29" t="str">
        <f ca="1">IF(B803&lt;=10,"",IF(B803=11,INDEX(C805:C816,MATCH(SMALL(D805:D816,11),D805:D816,0)),INDEX(C805:C816,MATCH(SMALL(D805:D816,12),D805:D816,0))))</f>
        <v/>
      </c>
    </row>
    <row r="806" spans="1:12" x14ac:dyDescent="0.25">
      <c r="B806">
        <v>12</v>
      </c>
      <c r="C806" t="str">
        <f ca="1">INDEX(A791:A802,MATCH(SMALL(B791:B802,2),B791:B802,0))</f>
        <v>Mark</v>
      </c>
      <c r="D806">
        <f ca="1">COUNTIF($C$805:$C$816,"&lt;="&amp;C806)</f>
        <v>10</v>
      </c>
      <c r="E806">
        <f ca="1">RAND()</f>
        <v>0.91663572861700338</v>
      </c>
      <c r="G806" t="s">
        <v>54</v>
      </c>
      <c r="H806" t="str">
        <f ca="1">INDEX(C805:C816,MATCH(LARGE(E805:E816,1),E805:E816,0))</f>
        <v>Christmas</v>
      </c>
    </row>
    <row r="807" spans="1:12" x14ac:dyDescent="0.25">
      <c r="C807" t="str">
        <f ca="1">IF(B803&lt;=2,"",INDEX(A791:A802,MATCH(SMALL(B791:B802,3),B791:B802,0)))</f>
        <v>Alex</v>
      </c>
      <c r="D807">
        <f t="shared" ref="D807:D816" ca="1" si="113">IF(C807="","",COUNTIF($C$805:$C$816,"&lt;="&amp;C807))</f>
        <v>7</v>
      </c>
      <c r="E807">
        <f t="shared" ref="E807:E816" ca="1" si="114">IF(C807="","",RAND())</f>
        <v>0.63278933353377131</v>
      </c>
      <c r="F807">
        <v>2</v>
      </c>
      <c r="G807" s="3" t="s">
        <v>53</v>
      </c>
      <c r="H807" s="3" t="str">
        <f ca="1">INDEX(C805:C816,MATCH(LARGE(E805:E816,2),E805:E816,0))</f>
        <v>Mark</v>
      </c>
      <c r="I807" s="3"/>
      <c r="J807" s="3"/>
      <c r="K807" s="3"/>
      <c r="L807" s="3"/>
    </row>
    <row r="808" spans="1:12" x14ac:dyDescent="0.25">
      <c r="C808" t="str">
        <f ca="1">IF(B803&lt;=3,"",INDEX(A791:A802,MATCH(SMALL(B791:B802,4),B791:B802,0)))</f>
        <v>Jessica</v>
      </c>
      <c r="D808">
        <f t="shared" ca="1" si="113"/>
        <v>9</v>
      </c>
      <c r="E808">
        <f t="shared" ca="1" si="114"/>
        <v>0.52018392500376787</v>
      </c>
      <c r="F808">
        <f t="shared" ref="F808:F817" ca="1" si="115">IF(G808="","",F807+1)</f>
        <v>3</v>
      </c>
      <c r="G808" s="3" t="str">
        <f ca="1">IF(B803&lt;=2,"","3rd-")</f>
        <v>3rd-</v>
      </c>
      <c r="H808" s="3" t="str">
        <f ca="1">IF(G808="","",INDEX(C805:C816,MATCH(LARGE(E805:E816,3),E805:E816,0)))</f>
        <v>Alex</v>
      </c>
      <c r="I808" s="3"/>
      <c r="J808" s="3"/>
      <c r="K808" s="3"/>
      <c r="L808" s="3"/>
    </row>
    <row r="809" spans="1:12" x14ac:dyDescent="0.25">
      <c r="C809" t="str">
        <f ca="1">IF(B803&lt;=4,"",INDEX(A791:A802,MATCH(SMALL(B791:B802,5),B791:B802,0)))</f>
        <v>Matt</v>
      </c>
      <c r="D809">
        <f t="shared" ca="1" si="113"/>
        <v>11</v>
      </c>
      <c r="E809">
        <f t="shared" ca="1" si="114"/>
        <v>0.17431548874676306</v>
      </c>
      <c r="F809">
        <f t="shared" ca="1" si="115"/>
        <v>4</v>
      </c>
      <c r="G809" t="str">
        <f ca="1">IF(B803&lt;=3,"","4th-")</f>
        <v>4th-</v>
      </c>
      <c r="H809" t="str">
        <f ca="1">IF(G809="","",INDEX(C805:C816,MATCH(LARGE(E805:E816,4),E805:E816,0)))</f>
        <v>Jessica</v>
      </c>
    </row>
    <row r="810" spans="1:12" x14ac:dyDescent="0.25">
      <c r="C810" t="str">
        <f ca="1">IF(B803&lt;=5,"",INDEX(A791:A802,MATCH(SMALL(B791:B802,6),B791:B802,0)))</f>
        <v>Christmas</v>
      </c>
      <c r="D810">
        <f t="shared" ca="1" si="113"/>
        <v>8</v>
      </c>
      <c r="E810">
        <f t="shared" ca="1" si="114"/>
        <v>0.95122297163294756</v>
      </c>
      <c r="F810">
        <f t="shared" ca="1" si="115"/>
        <v>5</v>
      </c>
      <c r="G810" t="str">
        <f ca="1">IF(B803&lt;=4,"","5th-")</f>
        <v>5th-</v>
      </c>
      <c r="H810" t="str">
        <f ca="1">IF(G810="","",INDEX(C805:C816,MATCH(LARGE(E805:E816,5),E805:E816,0)))</f>
        <v>Matt</v>
      </c>
    </row>
    <row r="811" spans="1:12" x14ac:dyDescent="0.25">
      <c r="C811" t="str">
        <f ca="1">IF(B803&lt;=6,"",INDEX(A791:A802,MATCH(SMALL(B791:B802,7),B791:B802,0)))</f>
        <v/>
      </c>
      <c r="D811" t="str">
        <f t="shared" ca="1" si="113"/>
        <v/>
      </c>
      <c r="E811" t="str">
        <f t="shared" ca="1" si="114"/>
        <v/>
      </c>
      <c r="F811">
        <f t="shared" ca="1" si="115"/>
        <v>6</v>
      </c>
      <c r="G811" t="str">
        <f ca="1">IF(B803&lt;=5,"","6th-")</f>
        <v>6th-</v>
      </c>
      <c r="H811" t="str">
        <f ca="1">IF(G811="","",INDEX(C805:C816,MATCH(LARGE(E805:E816,6),E805:E816,0)))</f>
        <v>Raven</v>
      </c>
    </row>
    <row r="812" spans="1:12" x14ac:dyDescent="0.25">
      <c r="C812" t="str">
        <f ca="1">IF(B803&lt;=7,"",INDEX(A791:A802,MATCH(SMALL(B791:B802,8),B791:B802,0)))</f>
        <v/>
      </c>
      <c r="D812" t="str">
        <f t="shared" ca="1" si="113"/>
        <v/>
      </c>
      <c r="E812" t="str">
        <f t="shared" ca="1" si="114"/>
        <v/>
      </c>
      <c r="F812" t="str">
        <f t="shared" ca="1" si="115"/>
        <v/>
      </c>
      <c r="G812" t="str">
        <f ca="1">IF(B803&lt;=6,"","7th-")</f>
        <v/>
      </c>
      <c r="H812" t="str">
        <f ca="1">IF(G812="","",INDEX(C805:C816,MATCH(LARGE(E805:E816,7),E805:E816,0)))</f>
        <v/>
      </c>
    </row>
    <row r="813" spans="1:12" x14ac:dyDescent="0.25">
      <c r="C813" t="str">
        <f ca="1">IF(B803&lt;=8,"",INDEX(A791:A802,MATCH(SMALL(B791:B802,9),B791:B802,0)))</f>
        <v/>
      </c>
      <c r="D813" t="str">
        <f t="shared" ca="1" si="113"/>
        <v/>
      </c>
      <c r="E813" t="str">
        <f t="shared" ca="1" si="114"/>
        <v/>
      </c>
      <c r="F813" t="str">
        <f t="shared" ca="1" si="115"/>
        <v/>
      </c>
      <c r="G813" t="str">
        <f ca="1">IF(B803&lt;=7,"","8th-")</f>
        <v/>
      </c>
      <c r="H813" t="str">
        <f ca="1">IF(G813="","",INDEX(C805:C816,MATCH(LARGE(E805:E816,8),E805:E816,0)))</f>
        <v/>
      </c>
    </row>
    <row r="814" spans="1:12" x14ac:dyDescent="0.25">
      <c r="C814" t="str">
        <f ca="1">IF(B803&lt;=9,"",INDEX(A791:A802,MATCH(SMALL(B791:B802,10),B791:B802,0)))</f>
        <v/>
      </c>
      <c r="D814" t="str">
        <f t="shared" ca="1" si="113"/>
        <v/>
      </c>
      <c r="E814" t="str">
        <f t="shared" ca="1" si="114"/>
        <v/>
      </c>
      <c r="F814" t="str">
        <f t="shared" ca="1" si="115"/>
        <v/>
      </c>
      <c r="G814" t="str">
        <f ca="1">IF(B803&lt;=8,"","9th-")</f>
        <v/>
      </c>
      <c r="H814" t="str">
        <f ca="1">IF(G814="","",INDEX(C805:C816,MATCH(LARGE(E805:E816,9),E805:E816,0)))</f>
        <v/>
      </c>
    </row>
    <row r="815" spans="1:12" x14ac:dyDescent="0.25">
      <c r="C815" t="str">
        <f ca="1">IF(B803&lt;=10,"",INDEX(A791:A802,MATCH(SMALL(B791:B802,11),B791:B802,0)))</f>
        <v/>
      </c>
      <c r="D815" t="str">
        <f t="shared" ca="1" si="113"/>
        <v/>
      </c>
      <c r="E815" t="str">
        <f t="shared" ca="1" si="114"/>
        <v/>
      </c>
      <c r="F815" t="str">
        <f t="shared" ca="1" si="115"/>
        <v/>
      </c>
      <c r="G815" t="str">
        <f ca="1">IF(B803&lt;=9,"","10th-")</f>
        <v/>
      </c>
      <c r="H815" t="str">
        <f ca="1">IF(G815="","",INDEX(C805:C816,MATCH(LARGE(E805:E816,10),E805:E816,0)))</f>
        <v/>
      </c>
    </row>
    <row r="816" spans="1:12" x14ac:dyDescent="0.25">
      <c r="C816" t="str">
        <f ca="1">IF(B803&lt;=11,"",INDEX(A791:A802,MATCH(SMALL(B791:B802,12),B791:B802,0)))</f>
        <v/>
      </c>
      <c r="D816" t="str">
        <f t="shared" ca="1" si="113"/>
        <v/>
      </c>
      <c r="E816" t="str">
        <f t="shared" ca="1" si="114"/>
        <v/>
      </c>
      <c r="F816" t="str">
        <f t="shared" ca="1" si="115"/>
        <v/>
      </c>
      <c r="G816" t="str">
        <f ca="1">IF(B803&lt;=10,"","11th-")</f>
        <v/>
      </c>
      <c r="H816" t="str">
        <f ca="1">IF(G816="","",INDEX(C805:C816,MATCH(LARGE(E805:E816,11),E805:E816,0)))</f>
        <v/>
      </c>
    </row>
    <row r="817" spans="1:8" x14ac:dyDescent="0.25">
      <c r="F817" t="str">
        <f t="shared" ca="1" si="115"/>
        <v/>
      </c>
      <c r="G817" t="str">
        <f ca="1">IF(B803&lt;=11,"","12th-")</f>
        <v/>
      </c>
      <c r="H817" t="str">
        <f ca="1">IF(G817="","",INDEX(C805:C816,MATCH(LARGE(E805:E816,12),E805:E816,0)))</f>
        <v/>
      </c>
    </row>
    <row r="819" spans="1:8" x14ac:dyDescent="0.25">
      <c r="E819">
        <f>Sheet4!$A$66</f>
        <v>65</v>
      </c>
      <c r="F819" t="str">
        <f ca="1">H806</f>
        <v>Christmas</v>
      </c>
      <c r="G819" t="str">
        <f ca="1">H806&amp;" wins immunity for the week"</f>
        <v>Christmas wins immunity for the week</v>
      </c>
    </row>
    <row r="820" spans="1:8" x14ac:dyDescent="0.25">
      <c r="A820" t="str">
        <f ca="1">INDEX(A776:A788,MATCH(SMALL(B776:B788,1),B776:B788,0))</f>
        <v>Elena</v>
      </c>
      <c r="B820">
        <f ca="1">IF(COUNTIF(F819:F820,A820)=1,"",1)</f>
        <v>1</v>
      </c>
      <c r="D820" t="str">
        <f ca="1">F823</f>
        <v>Elena</v>
      </c>
      <c r="E820">
        <f ca="1">INDEX(E759:E772,MATCH(D820,D759:D772,0))</f>
        <v>56.2767320805171</v>
      </c>
      <c r="F820" t="str">
        <f ca="1">INDEX(H806:H817,MATCH(LARGE(F806:F817,1),F806:F817,0))</f>
        <v>Raven</v>
      </c>
      <c r="G820" t="str">
        <f ca="1">F820&amp;" is now nominated"</f>
        <v>Raven is now nominated</v>
      </c>
    </row>
    <row r="821" spans="1:8" x14ac:dyDescent="0.25">
      <c r="A821" t="str">
        <f ca="1">INDEX(A776:A788,MATCH(SMALL(B776:B788,2),B776:B788,0))</f>
        <v>Christmas</v>
      </c>
      <c r="B821" t="str">
        <f ca="1">IF(COUNTIF(F819:F820,A821)=1,"",2)</f>
        <v/>
      </c>
      <c r="D821" t="str">
        <f ca="1">F824</f>
        <v>Mark</v>
      </c>
      <c r="E821">
        <f ca="1">INDEX(E759:E772,MATCH(D821,D759:D772,0))</f>
        <v>14.404075662040396</v>
      </c>
    </row>
    <row r="822" spans="1:8" x14ac:dyDescent="0.25">
      <c r="A822" t="str">
        <f ca="1">INDEX(A776:A788,MATCH(SMALL(B776:B788,3),B776:B788,0))</f>
        <v>Mark</v>
      </c>
      <c r="B822">
        <f ca="1">IF(COUNTIF(F819:F820,A822)=1,"",3)</f>
        <v>3</v>
      </c>
      <c r="D822" t="str">
        <f ca="1">F820</f>
        <v>Raven</v>
      </c>
      <c r="E822">
        <f ca="1">INDEX(E759:E772,MATCH(D822,D759:D772,0))</f>
        <v>101</v>
      </c>
      <c r="G822" s="2" t="s">
        <v>83</v>
      </c>
    </row>
    <row r="823" spans="1:8" x14ac:dyDescent="0.25">
      <c r="A823" t="str">
        <f ca="1">INDEX(A776:A788,MATCH(SMALL(B776:B788,4),B776:B788,0))</f>
        <v>Raven</v>
      </c>
      <c r="B823" t="str">
        <f ca="1">IF(COUNTIF(F819:F820,A823)=1,"",4)</f>
        <v/>
      </c>
      <c r="D823">
        <f ca="1">COUNTIF(E820:E822,"&gt;="&amp;E819)</f>
        <v>1</v>
      </c>
      <c r="E823">
        <v>3</v>
      </c>
      <c r="F823" t="str">
        <f ca="1">INDEX(A820:A825,MATCH(SMALL(B820:B825,1),B820:B825,0))</f>
        <v>Elena</v>
      </c>
      <c r="G823" s="1" t="str">
        <f ca="1">"The first person "&amp;H771&amp;" has nominated is…"</f>
        <v>The first person Josh has nominated is…</v>
      </c>
    </row>
    <row r="824" spans="1:8" x14ac:dyDescent="0.25">
      <c r="A824" t="str">
        <f ca="1">INDEX(A776:A788,MATCH(SMALL(B776:B788,5),B776:B788,0))</f>
        <v>Jessica</v>
      </c>
      <c r="B824">
        <f ca="1">IF(COUNTIF(F819:F820,A824)=1,"",5)</f>
        <v>5</v>
      </c>
      <c r="E824">
        <f ca="1">IF(E823=2,IF(D823=2,3.5,D823+0.5),D823+0.5)</f>
        <v>1.5</v>
      </c>
      <c r="F824" t="str">
        <f ca="1">INDEX(A820:A825,MATCH(SMALL(B820:B825,2),B820:B825,0))</f>
        <v>Mark</v>
      </c>
      <c r="G824" s="1" t="str">
        <f ca="1">F823</f>
        <v>Elena</v>
      </c>
    </row>
    <row r="825" spans="1:8" x14ac:dyDescent="0.25">
      <c r="A825" t="str">
        <f ca="1">INDEX(A776:A788,MATCH(SMALL(B776:B788,6),B776:B788,0))</f>
        <v>Jason</v>
      </c>
      <c r="B825">
        <f ca="1">IF(COUNTIF(F819:F820,A825)=1,"",6)</f>
        <v>6</v>
      </c>
      <c r="F825" t="str">
        <f ca="1">F820</f>
        <v>Raven</v>
      </c>
      <c r="G825" s="1" t="str">
        <f ca="1">"The second person "&amp;H771&amp;" has nominated is…"</f>
        <v>The second person Josh has nominated is…</v>
      </c>
    </row>
    <row r="826" spans="1:8" x14ac:dyDescent="0.25">
      <c r="F826" t="str">
        <f ca="1">INDEX(A820:A825,MATCH(SMALL(B820:B825,3),B820:B825,0))</f>
        <v>Jessica</v>
      </c>
      <c r="G826" s="1" t="str">
        <f ca="1">F824</f>
        <v>Mark</v>
      </c>
    </row>
    <row r="827" spans="1:8" x14ac:dyDescent="0.25">
      <c r="F827" t="str">
        <f ca="1">INDEX(A820:A825,MATCH(SMALL(B820:B825,4),B820:B825,0))</f>
        <v>Jason</v>
      </c>
    </row>
    <row r="828" spans="1:8" x14ac:dyDescent="0.25">
      <c r="G828" s="2" t="s">
        <v>105</v>
      </c>
    </row>
    <row r="829" spans="1:8" x14ac:dyDescent="0.25">
      <c r="A829" t="str">
        <f t="shared" ref="A829:A840" ca="1" si="116">A746</f>
        <v>Alex</v>
      </c>
      <c r="B829">
        <f t="shared" ref="B829:B840" ca="1" si="117">IF(COUNTIF($F$823:$F$825,A829)=1,"",IF(A829=$H$771,"",RAND()))</f>
        <v>0.93827583413348647</v>
      </c>
      <c r="C829">
        <f t="shared" ref="C829:C840" ca="1" si="118">IF(COUNTIF($G$837:$I$838,A829)=1,"",RAND())</f>
        <v>0.25610797345829173</v>
      </c>
      <c r="G829" t="str">
        <f ca="1">H771&amp;"-"</f>
        <v>Josh-</v>
      </c>
      <c r="H829" s="29" t="str">
        <f ca="1">INDEX(A829:A841,MATCH(LARGE(B829:B841,1),B829:B841,0))</f>
        <v>Christmas</v>
      </c>
    </row>
    <row r="830" spans="1:8" x14ac:dyDescent="0.25">
      <c r="A830" t="str">
        <f t="shared" ca="1" si="116"/>
        <v>Cameron</v>
      </c>
      <c r="B830">
        <f t="shared" ca="1" si="117"/>
        <v>0.86176076164511151</v>
      </c>
      <c r="C830">
        <f t="shared" ca="1" si="118"/>
        <v>0.27950517828773658</v>
      </c>
      <c r="G830" t="str">
        <f ca="1">G829</f>
        <v>Josh-</v>
      </c>
      <c r="H830" s="29" t="str">
        <f ca="1">INDEX(A829:A841,MATCH(LARGE(B829:B841,2),B829:B841,0))</f>
        <v>Jason</v>
      </c>
    </row>
    <row r="831" spans="1:8" x14ac:dyDescent="0.25">
      <c r="A831" t="str">
        <f t="shared" ca="1" si="116"/>
        <v>Christmas</v>
      </c>
      <c r="B831">
        <f t="shared" ca="1" si="117"/>
        <v>0.98730331723990217</v>
      </c>
      <c r="C831" t="str">
        <f t="shared" ca="1" si="118"/>
        <v/>
      </c>
    </row>
    <row r="832" spans="1:8" x14ac:dyDescent="0.25">
      <c r="A832" t="str">
        <f t="shared" ca="1" si="116"/>
        <v>Cody</v>
      </c>
      <c r="B832">
        <f t="shared" ca="1" si="117"/>
        <v>0.64950464343596914</v>
      </c>
      <c r="C832">
        <f t="shared" ca="1" si="118"/>
        <v>0.16886701052092801</v>
      </c>
      <c r="G832" s="1" t="str">
        <f ca="1">IF(F835="Yes",F833&amp;" stands up and decides to use The Ring of Replacement","")</f>
        <v/>
      </c>
    </row>
    <row r="833" spans="1:9" x14ac:dyDescent="0.25">
      <c r="A833" t="str">
        <f t="shared" ca="1" si="116"/>
        <v>Elena</v>
      </c>
      <c r="B833" t="str">
        <f t="shared" ca="1" si="117"/>
        <v/>
      </c>
      <c r="C833" t="str">
        <f t="shared" ca="1" si="118"/>
        <v/>
      </c>
      <c r="F833" s="1" t="str">
        <f ca="1">$G$387</f>
        <v>Raven</v>
      </c>
      <c r="G833" s="1" t="str">
        <f ca="1">IF(G832="","",F833&amp;" uses it to replace…")</f>
        <v/>
      </c>
    </row>
    <row r="834" spans="1:9" x14ac:dyDescent="0.25">
      <c r="A834" t="str">
        <f t="shared" ca="1" si="116"/>
        <v>Jason</v>
      </c>
      <c r="B834">
        <f t="shared" ca="1" si="117"/>
        <v>0.96401835972242711</v>
      </c>
      <c r="C834" t="str">
        <f t="shared" ca="1" si="118"/>
        <v/>
      </c>
      <c r="F834" s="1" t="str">
        <f ca="1">IF(F691="","",IF(G689&lt;&gt;"","",IF(COUNTIF(E627:E630,F833)+COUNTIF(G741,F833)=1,"",IF(COUNTIF(H771,F833)+COUNTIF(F823:F825,F833)+COUNTIF(H829:H830,F833)+COUNTIF(A850,F833)=1,"IN",IF($I$26="On",RANDBETWEEN(1,3),RANDBETWEEN(1,4))))))</f>
        <v/>
      </c>
      <c r="G834" s="1" t="str">
        <f ca="1">IF(G833="","",INDEX(A843:A845,MATCH(SMALL(B843:B845,1),B843:B845,0)))</f>
        <v/>
      </c>
    </row>
    <row r="835" spans="1:9" x14ac:dyDescent="0.25">
      <c r="A835" t="str">
        <f t="shared" ca="1" si="116"/>
        <v>Jessica</v>
      </c>
      <c r="B835">
        <f t="shared" ca="1" si="117"/>
        <v>0.20091857313193451</v>
      </c>
      <c r="C835">
        <f t="shared" ca="1" si="118"/>
        <v>0.20719334971563275</v>
      </c>
      <c r="F835" t="str">
        <f ca="1">IF(F834="","",IF(F834="IN","No",IF($I$26="On",IF(F834&lt;=E824,"Yes","No"),IF(F834=1,"Yes","No"))))</f>
        <v/>
      </c>
    </row>
    <row r="836" spans="1:9" x14ac:dyDescent="0.25">
      <c r="A836" t="str">
        <f t="shared" ca="1" si="116"/>
        <v>Jillian</v>
      </c>
      <c r="B836">
        <f t="shared" ca="1" si="117"/>
        <v>0.89499019829600257</v>
      </c>
      <c r="C836">
        <f t="shared" ca="1" si="118"/>
        <v>0.32231517437458657</v>
      </c>
      <c r="G836" s="2" t="s">
        <v>106</v>
      </c>
    </row>
    <row r="837" spans="1:9" x14ac:dyDescent="0.25">
      <c r="A837" t="str">
        <f t="shared" ca="1" si="116"/>
        <v>Josh</v>
      </c>
      <c r="B837" t="str">
        <f t="shared" ca="1" si="117"/>
        <v/>
      </c>
      <c r="C837" t="str">
        <f t="shared" ca="1" si="118"/>
        <v/>
      </c>
      <c r="G837" s="29" t="str">
        <f ca="1">E841</f>
        <v>Josh</v>
      </c>
      <c r="H837" s="29" t="str">
        <f ca="1">E842</f>
        <v>Elena</v>
      </c>
      <c r="I837" s="29" t="str">
        <f ca="1">E843</f>
        <v>Mark</v>
      </c>
    </row>
    <row r="838" spans="1:9" x14ac:dyDescent="0.25">
      <c r="A838" t="str">
        <f t="shared" ca="1" si="116"/>
        <v>Mark</v>
      </c>
      <c r="B838" t="str">
        <f t="shared" ca="1" si="117"/>
        <v/>
      </c>
      <c r="C838" t="str">
        <f t="shared" ca="1" si="118"/>
        <v/>
      </c>
      <c r="G838" s="29" t="str">
        <f ca="1">E844</f>
        <v>Raven</v>
      </c>
      <c r="H838" s="29" t="str">
        <f ca="1">E845</f>
        <v>Christmas</v>
      </c>
      <c r="I838" s="29" t="str">
        <f ca="1">E846</f>
        <v>Jason</v>
      </c>
    </row>
    <row r="839" spans="1:9" x14ac:dyDescent="0.25">
      <c r="A839" t="str">
        <f t="shared" ca="1" si="116"/>
        <v>Matt</v>
      </c>
      <c r="B839">
        <f t="shared" ca="1" si="117"/>
        <v>0.4295366428651799</v>
      </c>
      <c r="C839">
        <f t="shared" ca="1" si="118"/>
        <v>0.14374920353815734</v>
      </c>
      <c r="G839" t="s">
        <v>107</v>
      </c>
      <c r="H839" t="str">
        <f ca="1">INDEX(A829:A841,MATCH(LARGE(C829:C841,1),C829:C841,0))</f>
        <v>Megan</v>
      </c>
    </row>
    <row r="840" spans="1:9" x14ac:dyDescent="0.25">
      <c r="A840" t="str">
        <f t="shared" ca="1" si="116"/>
        <v>Megan</v>
      </c>
      <c r="B840">
        <f t="shared" ca="1" si="117"/>
        <v>0.65488134081018412</v>
      </c>
      <c r="C840">
        <f t="shared" ca="1" si="118"/>
        <v>0.88174969095085509</v>
      </c>
    </row>
    <row r="841" spans="1:9" x14ac:dyDescent="0.25">
      <c r="A841" t="str">
        <f ca="1">A758</f>
        <v>Raven</v>
      </c>
      <c r="B841" t="str">
        <f ca="1">IF(A841="","",IF(COUNTIF($F$823:$F$825,A841)=1,"",IF(A841=$H$771,"",RAND())))</f>
        <v/>
      </c>
      <c r="C841" t="str">
        <f ca="1">IF(A841="","",IF(COUNTIF($G$837:$I$838,A841)=1,"",RAND()))</f>
        <v/>
      </c>
      <c r="E841" s="3" t="str">
        <f ca="1">H771</f>
        <v>Josh</v>
      </c>
      <c r="F841">
        <f t="shared" ref="F841:F846" ca="1" si="119">RAND()</f>
        <v>0.19458579110793461</v>
      </c>
      <c r="G841" t="s">
        <v>48</v>
      </c>
      <c r="H841" t="str">
        <f ca="1">INDEX(E841:E846,MATCH(SMALL(F841:F846,1),F841:F846,0))</f>
        <v>Mark</v>
      </c>
    </row>
    <row r="842" spans="1:9" x14ac:dyDescent="0.25">
      <c r="E842" t="str">
        <f ca="1">F823</f>
        <v>Elena</v>
      </c>
      <c r="F842">
        <f t="shared" ca="1" si="119"/>
        <v>0.20364136118111675</v>
      </c>
      <c r="G842" t="s">
        <v>49</v>
      </c>
      <c r="H842" t="str">
        <f ca="1">INDEX(E841:E846,MATCH(SMALL(F841:F846,2),F841:F846,0))</f>
        <v>Josh</v>
      </c>
    </row>
    <row r="843" spans="1:9" x14ac:dyDescent="0.25">
      <c r="A843" t="str">
        <f ca="1">H829</f>
        <v>Christmas</v>
      </c>
      <c r="B843">
        <f ca="1">IF($I$26="On",INDEX(E759:E772,MATCH(A843,D759:D772,0)),RAND())</f>
        <v>49.206725336114673</v>
      </c>
      <c r="E843" t="str">
        <f ca="1">F824</f>
        <v>Mark</v>
      </c>
      <c r="F843">
        <f t="shared" ca="1" si="119"/>
        <v>2.1268105509324897E-2</v>
      </c>
      <c r="G843" t="s">
        <v>50</v>
      </c>
      <c r="H843" t="str">
        <f ca="1">INDEX(E841:E846,MATCH(SMALL(F841:F846,3),F841:F846,0))</f>
        <v>Elena</v>
      </c>
    </row>
    <row r="844" spans="1:9" x14ac:dyDescent="0.25">
      <c r="A844" t="str">
        <f ca="1">H830</f>
        <v>Jason</v>
      </c>
      <c r="B844">
        <f ca="1">IF($I$26="On",INDEX(E759:E772,MATCH(A844,D759:D772,0)),RAND())</f>
        <v>26.449699295094824</v>
      </c>
      <c r="E844" t="str">
        <f ca="1">F825</f>
        <v>Raven</v>
      </c>
      <c r="F844">
        <f t="shared" ca="1" si="119"/>
        <v>0.8148541461650215</v>
      </c>
      <c r="G844" t="s">
        <v>52</v>
      </c>
      <c r="H844" t="str">
        <f ca="1">INDEX(E841:E846,MATCH(SMALL(F841:F846,4),F841:F846,0))</f>
        <v>Jason</v>
      </c>
    </row>
    <row r="845" spans="1:9" x14ac:dyDescent="0.25">
      <c r="B845" t="str">
        <f ca="1">IF(F835="Yes",F833,"")</f>
        <v/>
      </c>
      <c r="E845" t="str">
        <f ca="1">IF(A843=G834,B845,A843)</f>
        <v>Christmas</v>
      </c>
      <c r="F845">
        <f t="shared" ca="1" si="119"/>
        <v>0.80673330524919229</v>
      </c>
      <c r="G845" t="s">
        <v>53</v>
      </c>
      <c r="H845" t="str">
        <f ca="1">INDEX(E841:E846,MATCH(SMALL(F841:F846,5),F841:F846,0))</f>
        <v>Christmas</v>
      </c>
    </row>
    <row r="846" spans="1:9" x14ac:dyDescent="0.25">
      <c r="E846" t="str">
        <f ca="1">IF(A844=G834,B845,A844)</f>
        <v>Jason</v>
      </c>
      <c r="F846">
        <f t="shared" ca="1" si="119"/>
        <v>0.34440442925172265</v>
      </c>
      <c r="G846" t="s">
        <v>54</v>
      </c>
      <c r="H846" t="str">
        <f ca="1">INDEX(E841:E846,MATCH(SMALL(F841:F846,6),F841:F846,0))</f>
        <v>Raven</v>
      </c>
    </row>
    <row r="847" spans="1:9" x14ac:dyDescent="0.25">
      <c r="G847" t="str">
        <f ca="1">"Congratulations, "&amp;H846</f>
        <v>Congratulations, Raven</v>
      </c>
    </row>
    <row r="849" spans="1:9" x14ac:dyDescent="0.25">
      <c r="G849" s="2" t="s">
        <v>111</v>
      </c>
    </row>
    <row r="850" spans="1:9" x14ac:dyDescent="0.25">
      <c r="G850" t="str">
        <f ca="1">H846&amp;" has decided to use the POV to save"</f>
        <v>Raven has decided to use the POV to save</v>
      </c>
    </row>
    <row r="851" spans="1:9" x14ac:dyDescent="0.25">
      <c r="G851" t="str">
        <f ca="1">IF($I$26="On",Sheet4!A273,IF(COUNTIF(F823:F825,H846)=1,H846,IF(F855=1,F823,IF(F855=2,F824,IF(F825="","Neither Nominee",IF(F855=3,F825,"Nobody"))))))</f>
        <v>Raven</v>
      </c>
    </row>
    <row r="852" spans="1:9" x14ac:dyDescent="0.25">
      <c r="G852" t="str">
        <f ca="1">IF(G851=F825,"This POV Ceremony is adjourned",IF(G851="Nobody","This POV Ceremony is adjourned",IF(G851="Neither Nominee","This POV Ceremony is adjourned",H771&amp;" has decided to put up")))</f>
        <v>This POV Ceremony is adjourned</v>
      </c>
    </row>
    <row r="853" spans="1:9" x14ac:dyDescent="0.25">
      <c r="G853" t="str">
        <f ca="1">IF(COUNTIF(G852,"*adjourned")=1,"",D855)</f>
        <v/>
      </c>
    </row>
    <row r="854" spans="1:9" x14ac:dyDescent="0.25">
      <c r="G854" t="s">
        <v>152</v>
      </c>
    </row>
    <row r="855" spans="1:9" x14ac:dyDescent="0.25">
      <c r="C855" t="str">
        <f ca="1">F826</f>
        <v>Jessica</v>
      </c>
      <c r="D855" t="str">
        <f ca="1">IF(C855=H846,C856,C855)</f>
        <v>Jessica</v>
      </c>
      <c r="F855">
        <f ca="1">RANDBETWEEN(1,6)</f>
        <v>2</v>
      </c>
      <c r="G855" t="str">
        <f ca="1">IF(F823=G851,G853,F823)</f>
        <v>Elena</v>
      </c>
    </row>
    <row r="856" spans="1:9" x14ac:dyDescent="0.25">
      <c r="C856" t="str">
        <f ca="1">F827</f>
        <v>Jason</v>
      </c>
      <c r="G856" t="str">
        <f ca="1">IF(F824=G851,G853,F824)</f>
        <v>Mark</v>
      </c>
    </row>
    <row r="857" spans="1:9" x14ac:dyDescent="0.25">
      <c r="G857" t="str">
        <f ca="1">IF(F825=G851,"",F825)</f>
        <v/>
      </c>
    </row>
    <row r="859" spans="1:9" x14ac:dyDescent="0.25">
      <c r="G859" s="2" t="s">
        <v>114</v>
      </c>
    </row>
    <row r="860" spans="1:9" x14ac:dyDescent="0.25">
      <c r="D860" t="str">
        <f ca="1">IF(E717="","",IF(E717="Halt","",IF($G$509=G741,"",IF($I$26="On",Sheet4!A278,IF(COUNTIF(Game!G860:I860,$G$509)=1,RANDBETWEEN(1,2),RANDBETWEEN(1,4))))))</f>
        <v/>
      </c>
      <c r="E860" t="str">
        <f ca="1">IF(D860="","",IF(D860="No","No",IF(D860="Halt","Halt",IF(D860=1,"Halt","No"))))</f>
        <v/>
      </c>
      <c r="F860" s="3" t="str">
        <f ca="1">H771</f>
        <v>Josh</v>
      </c>
      <c r="G860" s="29" t="str">
        <f ca="1">G855</f>
        <v>Elena</v>
      </c>
      <c r="H860" s="29" t="str">
        <f ca="1">G856</f>
        <v>Mark</v>
      </c>
      <c r="I860" s="29" t="str">
        <f ca="1">G857</f>
        <v/>
      </c>
    </row>
    <row r="862" spans="1:9" x14ac:dyDescent="0.25">
      <c r="A862" t="str">
        <f t="shared" ref="A862:A874" ca="1" si="120">A746</f>
        <v>Alex</v>
      </c>
      <c r="B862">
        <f t="shared" ref="B862:B873" ca="1" si="121">IF(COUNTIF($F$860:$I$860,A862)=1,"",RAND())</f>
        <v>0.83186898337844639</v>
      </c>
      <c r="G862" t="str">
        <f ca="1">IF(E860="Halt",G509&amp;" has decided to use the Halting Hex power","")</f>
        <v/>
      </c>
    </row>
    <row r="863" spans="1:9" x14ac:dyDescent="0.25">
      <c r="A863" t="str">
        <f t="shared" ca="1" si="120"/>
        <v>Cameron</v>
      </c>
      <c r="B863">
        <f t="shared" ca="1" si="121"/>
        <v>0.70358750688672533</v>
      </c>
      <c r="G863" t="str">
        <f ca="1">IF(E860="Halt","This eviction is cancelled","")</f>
        <v/>
      </c>
    </row>
    <row r="864" spans="1:9" x14ac:dyDescent="0.25">
      <c r="A864" t="str">
        <f t="shared" ca="1" si="120"/>
        <v>Christmas</v>
      </c>
      <c r="B864">
        <f t="shared" ca="1" si="121"/>
        <v>0.51132119025091938</v>
      </c>
      <c r="E864" t="str">
        <f ca="1">INDEX(A862:A875,MATCH(SMALL(B862:B875,1),B862:B875,0))</f>
        <v>Megan</v>
      </c>
      <c r="F864">
        <f t="shared" ref="F864:F871" ca="1" si="122">IF($I$860="",RANDBETWEEN(1,2),RANDBETWEEN(1,3))</f>
        <v>1</v>
      </c>
      <c r="G864" t="str">
        <f ca="1">IF(E860="Halt","",E864&amp;"-")</f>
        <v>Megan-</v>
      </c>
      <c r="H864" t="str">
        <f ca="1">IF(G864="","",IF($I$26="On",INDEX(Sheet4!$B$284:$R$284,MATCH(Game!E864,Sheet4!$B$280:$R$280,0)),IF(F864=1,$G$860,IF(F864=2,$H$860,$I$860))))</f>
        <v>Mark</v>
      </c>
    </row>
    <row r="865" spans="1:8" x14ac:dyDescent="0.25">
      <c r="A865" t="str">
        <f t="shared" ca="1" si="120"/>
        <v>Cody</v>
      </c>
      <c r="B865">
        <f t="shared" ca="1" si="121"/>
        <v>9.8727066331926627E-2</v>
      </c>
      <c r="E865" t="str">
        <f ca="1">INDEX(A862:A875,MATCH(SMALL(B862:B875,2),B862:B875,0))</f>
        <v>Cody</v>
      </c>
      <c r="F865">
        <f t="shared" ca="1" si="122"/>
        <v>2</v>
      </c>
      <c r="G865" t="str">
        <f t="shared" ref="G865:G871" ca="1" si="123">IF(G864="","",E865&amp;"-")</f>
        <v>Cody-</v>
      </c>
      <c r="H865" t="str">
        <f ca="1">IF(G865="","",IF($I$26="On",INDEX(Sheet4!$B$284:$R$284,MATCH(Game!E865,Sheet4!$B$280:$R$280,0)),IF(F865=1,$G$860,IF(F865=2,$H$860,$I$860))))</f>
        <v>Mark</v>
      </c>
    </row>
    <row r="866" spans="1:8" x14ac:dyDescent="0.25">
      <c r="A866" t="str">
        <f t="shared" ca="1" si="120"/>
        <v>Elena</v>
      </c>
      <c r="B866" t="str">
        <f t="shared" ca="1" si="121"/>
        <v/>
      </c>
      <c r="E866" t="str">
        <f ca="1">INDEX(A862:A875,MATCH(SMALL(B862:B875,3),B862:B875,0))</f>
        <v>Jessica</v>
      </c>
      <c r="F866">
        <f t="shared" ca="1" si="122"/>
        <v>2</v>
      </c>
      <c r="G866" t="str">
        <f t="shared" ca="1" si="123"/>
        <v>Jessica-</v>
      </c>
      <c r="H866" t="str">
        <f ca="1">IF(G866="","",IF($I$26="On",INDEX(Sheet4!$B$284:$R$284,MATCH(Game!E866,Sheet4!$B$280:$R$280,0)),IF(F866=1,$G$860,IF(F866=2,$H$860,$I$860))))</f>
        <v>Mark</v>
      </c>
    </row>
    <row r="867" spans="1:8" x14ac:dyDescent="0.25">
      <c r="A867" t="str">
        <f t="shared" ca="1" si="120"/>
        <v>Jason</v>
      </c>
      <c r="B867">
        <f t="shared" ca="1" si="121"/>
        <v>0.63827964997646824</v>
      </c>
      <c r="E867" t="str">
        <f ca="1">INDEX(A862:A875,MATCH(SMALL(B862:B875,4),B862:B875,0))</f>
        <v>Christmas</v>
      </c>
      <c r="F867">
        <f t="shared" ca="1" si="122"/>
        <v>1</v>
      </c>
      <c r="G867" t="str">
        <f t="shared" ca="1" si="123"/>
        <v>Christmas-</v>
      </c>
      <c r="H867" t="str">
        <f ca="1">IF(G867="","",IF($I$26="On",INDEX(Sheet4!$B$284:$R$284,MATCH(Game!E867,Sheet4!$B$280:$R$280,0)),IF(F867=1,$G$860,IF(F867=2,$H$860,$I$860))))</f>
        <v>Elena</v>
      </c>
    </row>
    <row r="868" spans="1:8" x14ac:dyDescent="0.25">
      <c r="A868" t="str">
        <f t="shared" ca="1" si="120"/>
        <v>Jessica</v>
      </c>
      <c r="B868">
        <f t="shared" ca="1" si="121"/>
        <v>0.22926646463557354</v>
      </c>
      <c r="E868" t="str">
        <f ca="1">INDEX(A862:A875,MATCH(SMALL(B862:B875,5),B862:B875,0))</f>
        <v>Raven</v>
      </c>
      <c r="F868">
        <f t="shared" ca="1" si="122"/>
        <v>1</v>
      </c>
      <c r="G868" t="str">
        <f t="shared" ca="1" si="123"/>
        <v>Raven-</v>
      </c>
      <c r="H868" t="str">
        <f ca="1">IF(G868="","",IF($I$26="On",INDEX(Sheet4!$B$284:$R$284,MATCH(Game!E868,Sheet4!$B$280:$R$280,0)),IF(F868=1,$G$860,IF(F868=2,$H$860,$I$860))))</f>
        <v>Mark</v>
      </c>
    </row>
    <row r="869" spans="1:8" x14ac:dyDescent="0.25">
      <c r="A869" t="str">
        <f t="shared" ca="1" si="120"/>
        <v>Jillian</v>
      </c>
      <c r="B869">
        <f t="shared" ca="1" si="121"/>
        <v>0.71325703103064775</v>
      </c>
      <c r="E869" t="str">
        <f ca="1">INDEX(A862:A875,MATCH(SMALL(B862:B875,6),B862:B875,0))</f>
        <v>Jason</v>
      </c>
      <c r="F869">
        <f t="shared" ca="1" si="122"/>
        <v>2</v>
      </c>
      <c r="G869" t="str">
        <f t="shared" ca="1" si="123"/>
        <v>Jason-</v>
      </c>
      <c r="H869" t="str">
        <f ca="1">IF(G869="","",IF($I$26="On",INDEX(Sheet4!$B$284:$R$284,MATCH(Game!E869,Sheet4!$B$280:$R$280,0)),IF(F869=1,$G$860,IF(F869=2,$H$860,$I$860))))</f>
        <v>Elena</v>
      </c>
    </row>
    <row r="870" spans="1:8" x14ac:dyDescent="0.25">
      <c r="A870" t="str">
        <f t="shared" ca="1" si="120"/>
        <v>Josh</v>
      </c>
      <c r="B870" t="str">
        <f t="shared" ca="1" si="121"/>
        <v/>
      </c>
      <c r="E870" t="str">
        <f ca="1">INDEX(A862:A875,MATCH(SMALL(B862:B875,7),B862:B875,0))</f>
        <v>Cameron</v>
      </c>
      <c r="F870">
        <f t="shared" ca="1" si="122"/>
        <v>1</v>
      </c>
      <c r="G870" t="str">
        <f t="shared" ca="1" si="123"/>
        <v>Cameron-</v>
      </c>
      <c r="H870" t="str">
        <f ca="1">IF(G870="","",IF($I$26="On",INDEX(Sheet4!$B$284:$R$284,MATCH(Game!E870,Sheet4!$B$280:$R$280,0)),IF(F870=1,$G$860,IF(F870=2,$H$860,$I$860))))</f>
        <v>Elena</v>
      </c>
    </row>
    <row r="871" spans="1:8" x14ac:dyDescent="0.25">
      <c r="A871" t="str">
        <f t="shared" ca="1" si="120"/>
        <v>Mark</v>
      </c>
      <c r="B871" t="str">
        <f t="shared" ca="1" si="121"/>
        <v/>
      </c>
      <c r="E871" t="str">
        <f ca="1">INDEX(A862:A875,MATCH(SMALL(B862:B875,8),B862:B875,0))</f>
        <v>Jillian</v>
      </c>
      <c r="F871">
        <f t="shared" ca="1" si="122"/>
        <v>1</v>
      </c>
      <c r="G871" t="str">
        <f t="shared" ca="1" si="123"/>
        <v>Jillian-</v>
      </c>
      <c r="H871" t="str">
        <f ca="1">IF(G871="","",IF($I$26="On",INDEX(Sheet4!$B$284:$R$284,MATCH(Game!E871,Sheet4!$B$280:$R$280,0)),IF(F871=1,$G$860,IF(F871=2,$H$860,$I$860))))</f>
        <v>Mark</v>
      </c>
    </row>
    <row r="872" spans="1:8" x14ac:dyDescent="0.25">
      <c r="A872" t="str">
        <f t="shared" ca="1" si="120"/>
        <v>Matt</v>
      </c>
      <c r="B872">
        <f t="shared" ca="1" si="121"/>
        <v>0.80325612573982785</v>
      </c>
      <c r="E872" t="str">
        <f ca="1">IF(A878&lt;=8,"",INDEX(A862:A875,MATCH(SMALL(B862:B875,9),B862:B875,0)))</f>
        <v>Matt</v>
      </c>
      <c r="F872">
        <f ca="1">IF(E872="","",IF($I$860="",RANDBETWEEN(1,2),RANDBETWEEN(1,3)))</f>
        <v>2</v>
      </c>
      <c r="G872" t="str">
        <f ca="1">IF(G871="","",IF(E872="","",E872&amp;"-"))</f>
        <v>Matt-</v>
      </c>
      <c r="H872" t="str">
        <f ca="1">IF(G872="","",IF($I$26="On",INDEX(Sheet4!$B$284:$R$284,MATCH(Game!E872,Sheet4!$B$280:$R$280,0)),IF(F872=1,$G$860,IF(F872=2,$H$860,$I$860))))</f>
        <v>Elena</v>
      </c>
    </row>
    <row r="873" spans="1:8" x14ac:dyDescent="0.25">
      <c r="A873" t="str">
        <f t="shared" ca="1" si="120"/>
        <v>Megan</v>
      </c>
      <c r="B873">
        <f t="shared" ca="1" si="121"/>
        <v>8.6102094288201703E-2</v>
      </c>
      <c r="E873" t="str">
        <f ca="1">IF(A878&lt;=9,"",INDEX(A862:A875,MATCH(SMALL(B862:B875,10),B862:B875,0)))</f>
        <v>Alex</v>
      </c>
      <c r="F873">
        <f ca="1">IF(E873="","",IF($I$860="",RANDBETWEEN(1,2),RANDBETWEEN(1,3)))</f>
        <v>1</v>
      </c>
      <c r="G873" t="str">
        <f ca="1">IF(G872="","",IF(E873="","",E873&amp;"-"))</f>
        <v>Alex-</v>
      </c>
      <c r="H873" t="str">
        <f ca="1">IF(G873="","",IF($I$26="On",INDEX(Sheet4!$B$284:$R$284,MATCH(Game!E873,Sheet4!$B$280:$R$280,0)),IF(F873=1,$G$860,IF(F873=2,$H$860,$I$860))))</f>
        <v>Elena</v>
      </c>
    </row>
    <row r="874" spans="1:8" x14ac:dyDescent="0.25">
      <c r="A874" t="str">
        <f t="shared" ca="1" si="120"/>
        <v>Raven</v>
      </c>
      <c r="B874">
        <f ca="1">IF(A874="","",IF(COUNTIF($F$860:$I$860,A874)=1,"",RAND()))</f>
        <v>0.63438436226662187</v>
      </c>
    </row>
    <row r="875" spans="1:8" x14ac:dyDescent="0.25">
      <c r="G875" t="str">
        <f ca="1">IF(E880&gt;=2,"We have a tie!","")</f>
        <v>We have a tie!</v>
      </c>
    </row>
    <row r="876" spans="1:8" x14ac:dyDescent="0.25">
      <c r="G876" t="str">
        <f ca="1">IF(G875="","",F860&amp;", the HOH, will break the tie")</f>
        <v>Josh, the HOH, will break the tie</v>
      </c>
    </row>
    <row r="877" spans="1:8" x14ac:dyDescent="0.25">
      <c r="E877" t="str">
        <f ca="1">G860</f>
        <v>Elena</v>
      </c>
      <c r="F877">
        <f ca="1">IF($I$26="On",COUNTIF(H863:H874,E877)+INDEX(B776:B788,MATCH(E877,A776:A788,0))/220,COUNTIF(H863:H874,E877)+RAND()/2.2)</f>
        <v>5.0054512742293689</v>
      </c>
      <c r="G877" t="str">
        <f ca="1">IF(G876="","",F860&amp;"-")</f>
        <v>Josh-</v>
      </c>
      <c r="H877" t="str">
        <f ca="1">IF(G877="","",E881)</f>
        <v>Elena</v>
      </c>
    </row>
    <row r="878" spans="1:8" x14ac:dyDescent="0.25">
      <c r="A878">
        <f ca="1">COUNTIF(B862:B874,"&lt;=1.1")</f>
        <v>10</v>
      </c>
      <c r="E878" t="str">
        <f ca="1">H860</f>
        <v>Mark</v>
      </c>
      <c r="F878">
        <f ca="1">IF($I$26="On",COUNTIF(H863:H874,E878)+INDEX(B776:B788,MATCH(E878,A776:A788,0))/220,COUNTIF(H863:H874,E878)+RAND()/2.2)</f>
        <v>5.070100628564802</v>
      </c>
    </row>
    <row r="879" spans="1:8" x14ac:dyDescent="0.25">
      <c r="E879" t="str">
        <f ca="1">I860</f>
        <v/>
      </c>
      <c r="F879" t="str">
        <f ca="1">IF(E879="","",IF($I$26="On",COUNTIF(H863:H874,E879)+INDEX(B776:B788,MATCH(E879,A776:A788,0))/220,COUNTIF(H863:H874,E879)+RAND()/2.2))</f>
        <v/>
      </c>
      <c r="G879" t="str">
        <f ca="1">IF(F888="","","With "&amp;ROUND(SMALL(F886:F888,1),0)&amp;IF(ROUND(SMALL(F886:F888,1),0)=1," vote"," votes"))</f>
        <v/>
      </c>
    </row>
    <row r="880" spans="1:8" x14ac:dyDescent="0.25">
      <c r="E880">
        <f ca="1">IF(E860="Halt",1,COUNTIF(F880:F882,F880))</f>
        <v>2</v>
      </c>
      <c r="F880">
        <f ca="1">ROUND(LARGE(F877:F879,1),0)</f>
        <v>5</v>
      </c>
      <c r="G880" t="str">
        <f ca="1">IF(G879="","",INDEX(E883:E885,MATCH(SMALL(F883:F885,1),F883:F885,0)))</f>
        <v/>
      </c>
    </row>
    <row r="881" spans="1:12" x14ac:dyDescent="0.25">
      <c r="E881" t="str">
        <f ca="1">IF(E880=3,INDEX(E877:E879,MATCH(SMALL(F877:F879,1),F877:F879,0)),INDEX(E877:E879,MATCH(LARGE(F877:F879,2),F877:F879,0)))</f>
        <v>Elena</v>
      </c>
      <c r="F881">
        <f ca="1">ROUND(LARGE(F877:F879,2),0)</f>
        <v>5</v>
      </c>
      <c r="G881" t="str">
        <f ca="1">IF(G880="","","You are safe")</f>
        <v/>
      </c>
    </row>
    <row r="882" spans="1:12" x14ac:dyDescent="0.25">
      <c r="F882" t="str">
        <f ca="1">IF(F879="","",ROUND(LARGE(F877:F879,3),0))</f>
        <v/>
      </c>
    </row>
    <row r="883" spans="1:12" x14ac:dyDescent="0.25">
      <c r="E883" t="str">
        <f ca="1">E877</f>
        <v>Elena</v>
      </c>
      <c r="F883">
        <f ca="1">COUNTIF(H864:H878,E883)+RAND()/2.2</f>
        <v>6.0368929333273336</v>
      </c>
      <c r="G883" t="str">
        <f ca="1">IF(G864="","","By a vote of "&amp;ROUND(LARGE(F883:F885,1),0)&amp;"-"&amp;ROUND(LARGE(F883:F885,2),0))</f>
        <v>By a vote of 6-5</v>
      </c>
    </row>
    <row r="884" spans="1:12" x14ac:dyDescent="0.25">
      <c r="E884" t="str">
        <f ca="1">E878</f>
        <v>Mark</v>
      </c>
      <c r="F884">
        <f ca="1">COUNTIF(H864:H878,E884)+RAND()/2.2</f>
        <v>5.0238872526310905</v>
      </c>
      <c r="G884" t="str">
        <f ca="1">IF(G864="","",INDEX(E883:E885,MATCH(LARGE(F883:F885,1),F883:F885,0)))</f>
        <v>Elena</v>
      </c>
    </row>
    <row r="885" spans="1:12" x14ac:dyDescent="0.25">
      <c r="E885" t="str">
        <f ca="1">E879</f>
        <v/>
      </c>
      <c r="F885" t="str">
        <f ca="1">IF(E885="","",COUNTIF(H864:H878,E885)+RAND()/2.2)</f>
        <v/>
      </c>
      <c r="G885" t="str">
        <f ca="1">IF(G864="","","You have been evicted from the Big Brother House")</f>
        <v>You have been evicted from the Big Brother House</v>
      </c>
    </row>
    <row r="886" spans="1:12" x14ac:dyDescent="0.25">
      <c r="F886">
        <f ca="1">ROUND(LARGE(F883:F885,1),0)</f>
        <v>6</v>
      </c>
    </row>
    <row r="887" spans="1:12" x14ac:dyDescent="0.25">
      <c r="F887">
        <f ca="1">ROUND(LARGE(F883:F885,2),0)</f>
        <v>5</v>
      </c>
      <c r="G887" t="str">
        <f ca="1">IF(F888="","",F886&amp;"-"&amp;F887&amp;"-"&amp;F888)</f>
        <v/>
      </c>
    </row>
    <row r="888" spans="1:12" x14ac:dyDescent="0.25">
      <c r="F888" t="str">
        <f ca="1">IF(E860="Halt","",IF(F885="","",ROUND(LARGE(F883:F885,3),0)))</f>
        <v/>
      </c>
    </row>
    <row r="889" spans="1:12" x14ac:dyDescent="0.25">
      <c r="G889" s="2" t="str">
        <f ca="1">IF(A904="","Announcement-","")</f>
        <v/>
      </c>
    </row>
    <row r="890" spans="1:12" x14ac:dyDescent="0.25">
      <c r="G890" t="str">
        <f ca="1">IF(G889="","","All the houseguests have now reached jury!")</f>
        <v/>
      </c>
    </row>
    <row r="892" spans="1:12" x14ac:dyDescent="0.25">
      <c r="G892" s="2" t="s">
        <v>173</v>
      </c>
    </row>
    <row r="893" spans="1:12" x14ac:dyDescent="0.25">
      <c r="A893" t="str">
        <f ca="1">IF(A746=G884,A747,A746)</f>
        <v>Alex</v>
      </c>
      <c r="C893" t="str">
        <f ca="1">IF(COUNTIF(C744:C745,"Halt")=1,"Halt","No")</f>
        <v>Halt</v>
      </c>
      <c r="G893" s="16" t="str">
        <f ca="1">A893</f>
        <v>Alex</v>
      </c>
      <c r="H893" s="16" t="str">
        <f ca="1">A894</f>
        <v>Cameron</v>
      </c>
      <c r="I893" s="16" t="str">
        <f ca="1">A895</f>
        <v>Christmas</v>
      </c>
      <c r="J893" s="16" t="str">
        <f ca="1">A896</f>
        <v>Cody</v>
      </c>
      <c r="K893" s="16" t="str">
        <f ca="1">A897</f>
        <v>Jason</v>
      </c>
      <c r="L893" s="28"/>
    </row>
    <row r="894" spans="1:12" x14ac:dyDescent="0.25">
      <c r="A894" t="str">
        <f t="shared" ref="A894:A904" ca="1" si="124">IF(A893=A747,A748,IF(A747=$G$884,A748,A747))</f>
        <v>Cameron</v>
      </c>
      <c r="C894" t="str">
        <f ca="1">IF(E860="Halt","Halt","No")</f>
        <v>No</v>
      </c>
      <c r="G894" s="24" t="str">
        <f ca="1">IF(COUNTIF($B$896:$F$896,G893)=0,"","HOH - "&amp;COUNTIF($B$896:$F$896,G893))</f>
        <v/>
      </c>
      <c r="H894" s="24" t="str">
        <f ca="1">IF(COUNTIF($B$896:$F$896,H893)=0,"","HOH - "&amp;COUNTIF($B$896:$F$896,H893))</f>
        <v/>
      </c>
      <c r="I894" s="24" t="str">
        <f ca="1">IF(COUNTIF($B$896:$F$896,I893)=0,"","HOH - "&amp;COUNTIF($B$896:$F$896,I893))</f>
        <v/>
      </c>
      <c r="J894" s="24" t="str">
        <f ca="1">IF(COUNTIF($B$896:$F$896,J893)=0,"","HOH - "&amp;COUNTIF($B$896:$F$896,J893))</f>
        <v>HOH - 1</v>
      </c>
      <c r="K894" s="24" t="str">
        <f ca="1">IF(COUNTIF($B$896:$F$896,K893)=0,"","HOH - "&amp;COUNTIF($B$896:$F$896,K893))</f>
        <v/>
      </c>
      <c r="L894" s="28"/>
    </row>
    <row r="895" spans="1:12" x14ac:dyDescent="0.25">
      <c r="A895" t="str">
        <f t="shared" ca="1" si="124"/>
        <v>Christmas</v>
      </c>
      <c r="C895" t="str">
        <f ca="1">IF(COUNTIF(C893:C894,"Halt")=1,"Halt","No")</f>
        <v>Halt</v>
      </c>
      <c r="G895" s="24" t="str">
        <f ca="1">IF(COUNTIF($B$897:$F$897,G893)=0,"","POV - "&amp;COUNTIF($B$897:$F$897,G893))</f>
        <v/>
      </c>
      <c r="H895" s="24" t="str">
        <f ca="1">IF(COUNTIF($B$897:$F$897,H893)=0,"","POV - "&amp;COUNTIF($B$897:$F$897,H893))</f>
        <v/>
      </c>
      <c r="I895" s="24" t="str">
        <f ca="1">IF(COUNTIF($B$897:$F$897,I893)=0,"","POV - "&amp;COUNTIF($B$897:$F$897,I893))</f>
        <v>POV - 2</v>
      </c>
      <c r="J895" s="24" t="str">
        <f ca="1">IF(COUNTIF($B$897:$F$897,J893)=0,"","POV - "&amp;COUNTIF($B$897:$F$897,J893))</f>
        <v/>
      </c>
      <c r="K895" s="24" t="str">
        <f ca="1">IF(COUNTIF($B$897:$F$897,K893)=0,"","POV - "&amp;COUNTIF($B$897:$F$897,K893))</f>
        <v/>
      </c>
      <c r="L895" s="28"/>
    </row>
    <row r="896" spans="1:12" x14ac:dyDescent="0.25">
      <c r="A896" t="str">
        <f t="shared" ca="1" si="124"/>
        <v>Cody</v>
      </c>
      <c r="B896" t="str">
        <f t="shared" ref="B896:E897" ca="1" si="125">C747</f>
        <v>Raven</v>
      </c>
      <c r="C896" t="str">
        <f t="shared" ca="1" si="125"/>
        <v>Josh</v>
      </c>
      <c r="D896" t="str">
        <f t="shared" ca="1" si="125"/>
        <v>Ramses</v>
      </c>
      <c r="E896" t="str">
        <f t="shared" ca="1" si="125"/>
        <v>Cody</v>
      </c>
      <c r="F896" t="str">
        <f ca="1">H771</f>
        <v>Josh</v>
      </c>
      <c r="G896" s="16" t="str">
        <f ca="1">A898</f>
        <v>Jessica</v>
      </c>
      <c r="H896" s="16" t="str">
        <f ca="1">A899</f>
        <v>Jillian</v>
      </c>
      <c r="I896" s="16" t="str">
        <f ca="1">A900</f>
        <v>Josh</v>
      </c>
      <c r="J896" s="16" t="str">
        <f ca="1">A901</f>
        <v>Mark</v>
      </c>
      <c r="K896" s="16" t="str">
        <f ca="1">A902</f>
        <v>Matt</v>
      </c>
      <c r="L896" s="16" t="str">
        <f ca="1">A903</f>
        <v>Megan</v>
      </c>
    </row>
    <row r="897" spans="1:12" x14ac:dyDescent="0.25">
      <c r="A897" t="str">
        <f t="shared" ca="1" si="124"/>
        <v>Jason</v>
      </c>
      <c r="B897" t="str">
        <f t="shared" ca="1" si="125"/>
        <v>Christmas</v>
      </c>
      <c r="C897" t="str">
        <f t="shared" ca="1" si="125"/>
        <v>Christmas</v>
      </c>
      <c r="D897" t="str">
        <f t="shared" ca="1" si="125"/>
        <v>Elena</v>
      </c>
      <c r="E897" t="str">
        <f t="shared" ca="1" si="125"/>
        <v>Megan</v>
      </c>
      <c r="F897" t="str">
        <f ca="1">H846</f>
        <v>Raven</v>
      </c>
      <c r="G897" s="24" t="str">
        <f t="shared" ref="G897:L897" ca="1" si="126">IF(COUNTIF($B$896:$F$896,G896)=0,"","HOH - "&amp;COUNTIF($B$896:$F$896,G896))</f>
        <v/>
      </c>
      <c r="H897" s="24" t="str">
        <f t="shared" ca="1" si="126"/>
        <v/>
      </c>
      <c r="I897" s="24" t="str">
        <f t="shared" ca="1" si="126"/>
        <v>HOH - 2</v>
      </c>
      <c r="J897" s="24" t="str">
        <f t="shared" ca="1" si="126"/>
        <v/>
      </c>
      <c r="K897" s="24" t="str">
        <f t="shared" ca="1" si="126"/>
        <v/>
      </c>
      <c r="L897" s="24" t="str">
        <f t="shared" ca="1" si="126"/>
        <v/>
      </c>
    </row>
    <row r="898" spans="1:12" x14ac:dyDescent="0.25">
      <c r="A898" t="str">
        <f t="shared" ca="1" si="124"/>
        <v>Jessica</v>
      </c>
      <c r="G898" s="24" t="str">
        <f t="shared" ref="G898:L898" ca="1" si="127">IF(COUNTIF($B$897:$F$897,G896)=0,"","POV - "&amp;COUNTIF($B$897:$F$897,G896))</f>
        <v/>
      </c>
      <c r="H898" s="24" t="str">
        <f t="shared" ca="1" si="127"/>
        <v/>
      </c>
      <c r="I898" s="24" t="str">
        <f t="shared" ca="1" si="127"/>
        <v/>
      </c>
      <c r="J898" s="24" t="str">
        <f t="shared" ca="1" si="127"/>
        <v/>
      </c>
      <c r="K898" s="24" t="str">
        <f t="shared" ca="1" si="127"/>
        <v/>
      </c>
      <c r="L898" s="24" t="str">
        <f t="shared" ca="1" si="127"/>
        <v>POV - 1</v>
      </c>
    </row>
    <row r="899" spans="1:12" x14ac:dyDescent="0.25">
      <c r="A899" t="str">
        <f t="shared" ca="1" si="124"/>
        <v>Jillian</v>
      </c>
      <c r="G899" s="16" t="str">
        <f ca="1">IF(A904="",G884,A904)</f>
        <v>Raven</v>
      </c>
      <c r="H899" s="19" t="str">
        <f ca="1">IF(C893="Halt",G884,G741)</f>
        <v>Elena</v>
      </c>
      <c r="I899" s="19" t="str">
        <f ca="1">I753</f>
        <v>Ramses</v>
      </c>
      <c r="J899" s="19" t="str">
        <f ca="1">J753</f>
        <v>Paul</v>
      </c>
      <c r="K899" s="30" t="str">
        <f ca="1">K753</f>
        <v>Kevin</v>
      </c>
      <c r="L899" s="19" t="str">
        <f ca="1">L753</f>
        <v>Dominique</v>
      </c>
    </row>
    <row r="900" spans="1:12" x14ac:dyDescent="0.25">
      <c r="A900" t="str">
        <f t="shared" ca="1" si="124"/>
        <v>Josh</v>
      </c>
      <c r="G900" s="24" t="str">
        <f t="shared" ref="G900:L900" ca="1" si="128">IF(COUNTIF($B$896:$F$896,G899)=0,"","HOH - "&amp;COUNTIF($B$896:$F$896,G899))</f>
        <v>HOH - 1</v>
      </c>
      <c r="H900" s="31" t="str">
        <f t="shared" ca="1" si="128"/>
        <v/>
      </c>
      <c r="I900" s="31" t="str">
        <f t="shared" ca="1" si="128"/>
        <v>HOH - 1</v>
      </c>
      <c r="J900" s="31" t="str">
        <f t="shared" ca="1" si="128"/>
        <v/>
      </c>
      <c r="K900" s="32" t="str">
        <f t="shared" ca="1" si="128"/>
        <v/>
      </c>
      <c r="L900" s="31" t="str">
        <f t="shared" ca="1" si="128"/>
        <v/>
      </c>
    </row>
    <row r="901" spans="1:12" x14ac:dyDescent="0.25">
      <c r="A901" t="str">
        <f t="shared" ca="1" si="124"/>
        <v>Mark</v>
      </c>
      <c r="G901" s="26" t="str">
        <f t="shared" ref="G901:L901" ca="1" si="129">IF(COUNTIF($B$897:$F$897,G899)=0,"","POV - "&amp;COUNTIF($B$897:$F$897,G899))</f>
        <v>POV - 1</v>
      </c>
      <c r="H901" s="33" t="str">
        <f t="shared" ca="1" si="129"/>
        <v>POV - 1</v>
      </c>
      <c r="I901" s="33" t="str">
        <f t="shared" ca="1" si="129"/>
        <v/>
      </c>
      <c r="J901" s="33" t="str">
        <f t="shared" ca="1" si="129"/>
        <v/>
      </c>
      <c r="K901" s="34" t="str">
        <f t="shared" ca="1" si="129"/>
        <v/>
      </c>
      <c r="L901" s="33" t="str">
        <f t="shared" ca="1" si="129"/>
        <v/>
      </c>
    </row>
    <row r="902" spans="1:12" x14ac:dyDescent="0.25">
      <c r="A902" t="str">
        <f t="shared" ca="1" si="124"/>
        <v>Matt</v>
      </c>
    </row>
    <row r="903" spans="1:12" x14ac:dyDescent="0.25">
      <c r="A903" t="str">
        <f t="shared" ca="1" si="124"/>
        <v>Megan</v>
      </c>
      <c r="G903" s="2" t="s">
        <v>65</v>
      </c>
    </row>
    <row r="904" spans="1:12" x14ac:dyDescent="0.25">
      <c r="A904" t="str">
        <f t="shared" ca="1" si="124"/>
        <v>Raven</v>
      </c>
      <c r="G904" t="s">
        <v>130</v>
      </c>
      <c r="H904" t="str">
        <f ca="1">H771</f>
        <v>Josh</v>
      </c>
    </row>
    <row r="905" spans="1:12" x14ac:dyDescent="0.25">
      <c r="D905" t="str">
        <f t="shared" ref="D905:E918" ca="1" si="130">D759</f>
        <v>Raven</v>
      </c>
      <c r="E905">
        <v>101</v>
      </c>
    </row>
    <row r="906" spans="1:12" x14ac:dyDescent="0.25">
      <c r="A906" t="str">
        <f ca="1">IF(A893=H904,A894,A893)</f>
        <v>Alex</v>
      </c>
      <c r="B906">
        <f t="shared" ref="B906:B915" ca="1" si="131">RAND()</f>
        <v>0.18178466193478482</v>
      </c>
      <c r="D906" t="str">
        <f t="shared" ca="1" si="130"/>
        <v>Jessica</v>
      </c>
      <c r="E906">
        <f t="shared" ca="1" si="130"/>
        <v>82.335943293871836</v>
      </c>
      <c r="G906" t="str">
        <f ca="1">IF(A916="","","11th-")</f>
        <v>11th-</v>
      </c>
      <c r="H906" t="str">
        <f ca="1">IF(G906="","",INDEX(A906:A916,MATCH(LARGE(B906:B916,11),B906:B916,0)))</f>
        <v>Cameron</v>
      </c>
    </row>
    <row r="907" spans="1:12" x14ac:dyDescent="0.25">
      <c r="A907" t="str">
        <f t="shared" ref="A907:A916" ca="1" si="132">IF(A906=A894,A895,IF(A894=$H$904,A895,A894))</f>
        <v>Cameron</v>
      </c>
      <c r="B907">
        <f t="shared" ca="1" si="131"/>
        <v>0.12468531636479641</v>
      </c>
      <c r="D907" t="str">
        <f t="shared" ca="1" si="130"/>
        <v>Cody</v>
      </c>
      <c r="E907">
        <f t="shared" ca="1" si="130"/>
        <v>73.03778757742748</v>
      </c>
      <c r="G907" t="s">
        <v>134</v>
      </c>
      <c r="H907" t="str">
        <f ca="1">INDEX(A906:A916,MATCH(LARGE(B906:B916,10),B906:B916,0))</f>
        <v>Alex</v>
      </c>
    </row>
    <row r="908" spans="1:12" x14ac:dyDescent="0.25">
      <c r="A908" t="str">
        <f t="shared" ca="1" si="132"/>
        <v>Christmas</v>
      </c>
      <c r="B908">
        <f t="shared" ca="1" si="131"/>
        <v>0.98910063473693788</v>
      </c>
      <c r="D908" t="str">
        <f t="shared" ca="1" si="130"/>
        <v>Ramses</v>
      </c>
      <c r="E908">
        <f t="shared" ca="1" si="130"/>
        <v>61.058885096535313</v>
      </c>
      <c r="G908" t="s">
        <v>135</v>
      </c>
      <c r="H908" t="str">
        <f ca="1">INDEX(A906:A916,MATCH(LARGE(B906:B916,9),B906:B916,0))</f>
        <v>Matt</v>
      </c>
    </row>
    <row r="909" spans="1:12" x14ac:dyDescent="0.25">
      <c r="A909" t="str">
        <f t="shared" ca="1" si="132"/>
        <v>Cody</v>
      </c>
      <c r="B909">
        <f t="shared" ca="1" si="131"/>
        <v>0.85750652171096375</v>
      </c>
      <c r="D909" t="str">
        <f t="shared" ca="1" si="130"/>
        <v>Elena</v>
      </c>
      <c r="E909">
        <f t="shared" ca="1" si="130"/>
        <v>56.2767320805171</v>
      </c>
      <c r="G909" t="s">
        <v>46</v>
      </c>
      <c r="H909" t="str">
        <f ca="1">INDEX(A906:A916,MATCH(LARGE(B906:B916,8),B906:B916,0))</f>
        <v>Jessica</v>
      </c>
    </row>
    <row r="910" spans="1:12" x14ac:dyDescent="0.25">
      <c r="A910" t="str">
        <f t="shared" ca="1" si="132"/>
        <v>Jason</v>
      </c>
      <c r="B910">
        <f t="shared" ca="1" si="131"/>
        <v>0.66399450833265194</v>
      </c>
      <c r="D910" t="str">
        <f t="shared" ca="1" si="130"/>
        <v>Christmas</v>
      </c>
      <c r="E910">
        <f t="shared" ca="1" si="130"/>
        <v>49.206725336114673</v>
      </c>
      <c r="G910" t="s">
        <v>47</v>
      </c>
      <c r="H910" t="str">
        <f ca="1">INDEX(A906:A916,MATCH(LARGE(B906:B916,7),B906:B916,0))</f>
        <v>Mark</v>
      </c>
    </row>
    <row r="911" spans="1:12" x14ac:dyDescent="0.25">
      <c r="A911" t="str">
        <f t="shared" ca="1" si="132"/>
        <v>Jessica</v>
      </c>
      <c r="B911">
        <f t="shared" ca="1" si="131"/>
        <v>0.55277992235269846</v>
      </c>
      <c r="D911" t="str">
        <f t="shared" ca="1" si="130"/>
        <v>Cameron</v>
      </c>
      <c r="E911">
        <f t="shared" ca="1" si="130"/>
        <v>47.409368445659858</v>
      </c>
      <c r="G911" t="s">
        <v>48</v>
      </c>
      <c r="H911" t="str">
        <f ca="1">INDEX(A906:A916,MATCH(LARGE(B906:B916,6),B906:B916,0))</f>
        <v>Jason</v>
      </c>
    </row>
    <row r="912" spans="1:12" x14ac:dyDescent="0.25">
      <c r="A912" t="str">
        <f t="shared" ca="1" si="132"/>
        <v>Jillian</v>
      </c>
      <c r="B912">
        <f t="shared" ca="1" si="131"/>
        <v>0.70565733843094558</v>
      </c>
      <c r="D912" t="str">
        <f t="shared" ca="1" si="130"/>
        <v>Alex</v>
      </c>
      <c r="E912">
        <f t="shared" ca="1" si="130"/>
        <v>27.072683409527087</v>
      </c>
      <c r="G912" t="s">
        <v>49</v>
      </c>
      <c r="H912" t="str">
        <f ca="1">INDEX(A906:A916,MATCH(LARGE(B906:B916,5),B906:B916,0))</f>
        <v>Megan</v>
      </c>
    </row>
    <row r="913" spans="1:8" x14ac:dyDescent="0.25">
      <c r="A913" t="str">
        <f t="shared" ca="1" si="132"/>
        <v>Mark</v>
      </c>
      <c r="B913">
        <f t="shared" ca="1" si="131"/>
        <v>0.57020638764876463</v>
      </c>
      <c r="D913" t="str">
        <f t="shared" ca="1" si="130"/>
        <v>Jason</v>
      </c>
      <c r="E913">
        <f t="shared" ca="1" si="130"/>
        <v>26.449699295094824</v>
      </c>
      <c r="G913" t="s">
        <v>50</v>
      </c>
      <c r="H913" t="str">
        <f ca="1">INDEX(A906:A916,MATCH(LARGE(B906:B916,4),B906:B916,0))</f>
        <v>Jillian</v>
      </c>
    </row>
    <row r="914" spans="1:8" x14ac:dyDescent="0.25">
      <c r="A914" t="str">
        <f t="shared" ca="1" si="132"/>
        <v>Matt</v>
      </c>
      <c r="B914">
        <f t="shared" ca="1" si="131"/>
        <v>0.40871983487348118</v>
      </c>
      <c r="D914" t="str">
        <f t="shared" ca="1" si="130"/>
        <v>Jillian</v>
      </c>
      <c r="E914">
        <f t="shared" ca="1" si="130"/>
        <v>25.012998050500968</v>
      </c>
      <c r="F914" t="str">
        <f ca="1">F786</f>
        <v>Alex</v>
      </c>
      <c r="G914" t="s">
        <v>52</v>
      </c>
      <c r="H914" t="str">
        <f ca="1">INDEX(A906:A916,MATCH(LARGE(B906:B916,3),B906:B916,0))</f>
        <v>Raven</v>
      </c>
    </row>
    <row r="915" spans="1:8" x14ac:dyDescent="0.25">
      <c r="A915" t="str">
        <f t="shared" ca="1" si="132"/>
        <v>Megan</v>
      </c>
      <c r="B915">
        <f t="shared" ca="1" si="131"/>
        <v>0.67349302445549764</v>
      </c>
      <c r="D915" t="str">
        <f t="shared" ca="1" si="130"/>
        <v>Josh</v>
      </c>
      <c r="E915">
        <f t="shared" ca="1" si="130"/>
        <v>16.322321659313264</v>
      </c>
      <c r="F915">
        <f ca="1">F787</f>
        <v>1</v>
      </c>
      <c r="G915" t="s">
        <v>53</v>
      </c>
      <c r="H915" t="str">
        <f ca="1">INDEX(A906:A916,MATCH(LARGE(B906:B916,2),B906:B916,0))</f>
        <v>Cody</v>
      </c>
    </row>
    <row r="916" spans="1:8" x14ac:dyDescent="0.25">
      <c r="A916" t="str">
        <f t="shared" ca="1" si="132"/>
        <v>Raven</v>
      </c>
      <c r="B916">
        <f ca="1">IF(A916="","",RAND())</f>
        <v>0.80920513091876889</v>
      </c>
      <c r="D916" t="str">
        <f t="shared" ca="1" si="130"/>
        <v>Matt</v>
      </c>
      <c r="E916">
        <f t="shared" ca="1" si="130"/>
        <v>16.041606218120869</v>
      </c>
      <c r="F916" t="str">
        <f ca="1">G884</f>
        <v>Elena</v>
      </c>
      <c r="G916" t="s">
        <v>54</v>
      </c>
      <c r="H916" t="str">
        <f ca="1">INDEX(A906:A916,MATCH(LARGE(B906:B916,1),B906:B916,0))</f>
        <v>Christmas</v>
      </c>
    </row>
    <row r="917" spans="1:8" x14ac:dyDescent="0.25">
      <c r="D917" t="str">
        <f t="shared" ca="1" si="130"/>
        <v>Mark</v>
      </c>
      <c r="E917">
        <f t="shared" ca="1" si="130"/>
        <v>14.404075662040396</v>
      </c>
      <c r="F917" t="str">
        <f ca="1">H916</f>
        <v>Christmas</v>
      </c>
      <c r="G917" t="str">
        <f ca="1">"Congratulations, "&amp;H916</f>
        <v>Congratulations, Christmas</v>
      </c>
    </row>
    <row r="918" spans="1:8" x14ac:dyDescent="0.25">
      <c r="B918" s="4">
        <f>$D$374</f>
        <v>50</v>
      </c>
      <c r="C918">
        <f ca="1">E922</f>
        <v>4</v>
      </c>
      <c r="D918" t="str">
        <f t="shared" ca="1" si="130"/>
        <v>Megan</v>
      </c>
      <c r="E918">
        <f t="shared" ca="1" si="130"/>
        <v>10.140565248618941</v>
      </c>
    </row>
    <row r="919" spans="1:8" x14ac:dyDescent="0.25">
      <c r="C919" t="str">
        <f ca="1">C774</f>
        <v>Jessica</v>
      </c>
      <c r="G919" s="2" t="s">
        <v>85</v>
      </c>
    </row>
    <row r="920" spans="1:8" x14ac:dyDescent="0.25">
      <c r="C920" t="str">
        <f ca="1">F921</f>
        <v/>
      </c>
      <c r="G920" s="1" t="str">
        <f ca="1">IF(E922=4,"There will be no Have Nots this week","There will be no Have Nots this week, but…")</f>
        <v>There will be no Have Nots this week</v>
      </c>
    </row>
    <row r="921" spans="1:8" x14ac:dyDescent="0.25">
      <c r="A921" t="str">
        <f ca="1">INDEX(Sheet4!B300:R300,MATCH(SMALL(Sheet4!B301:R301,1),Sheet4!B301:R301,0))</f>
        <v>Cody</v>
      </c>
      <c r="B921">
        <f ca="1">IF($I$26="On",SMALL(Sheet4!B301:R301,1),RAND())</f>
        <v>2.2850546326158266E-2</v>
      </c>
      <c r="C921">
        <f ca="1">IF(COUNTIF(C919:C920,A921)&gt;=1,"",RAND())</f>
        <v>0.6365646777379832</v>
      </c>
      <c r="D921">
        <f ca="1">IF(C921="","",0.5)</f>
        <v>0.5</v>
      </c>
      <c r="E921" s="1"/>
      <c r="F921" t="str">
        <f ca="1">IF(E922=3,F786,"")</f>
        <v/>
      </c>
      <c r="G921" s="1" t="str">
        <f ca="1">IF(F921="","",F921&amp;" is a have not for selecting the wrong box last week")</f>
        <v/>
      </c>
    </row>
    <row r="922" spans="1:8" x14ac:dyDescent="0.25">
      <c r="A922" t="str">
        <f ca="1">INDEX(Sheet4!B300:R300,MATCH(SMALL(Sheet4!B301:R301,2),Sheet4!B301:R301,0))</f>
        <v>Megan</v>
      </c>
      <c r="B922">
        <f ca="1">IF($I$26="On",SMALL(Sheet4!B301:R301,2),RAND())</f>
        <v>7.1318867821929848</v>
      </c>
      <c r="C922">
        <f ca="1">IF(COUNTIF(C919:C920,A922)&gt;=1,"",RAND())</f>
        <v>0.56701376749264765</v>
      </c>
      <c r="D922">
        <f ca="1">IF(C922="","",IF(D921="",0.5,SMALL(D921,1)+1))</f>
        <v>1.5</v>
      </c>
      <c r="E922" s="4">
        <f ca="1">IF(F915=1,4,IF(COUNTIF(F916:F918,F914)=1,4,3))</f>
        <v>4</v>
      </c>
      <c r="G922" s="1" t="str">
        <f ca="1">IF(C920="","","The have not is-")</f>
        <v/>
      </c>
    </row>
    <row r="923" spans="1:8" x14ac:dyDescent="0.25">
      <c r="A923" t="str">
        <f ca="1">INDEX(Sheet4!B300:R300,MATCH(SMALL(Sheet4!B301:R301,3),Sheet4!B301:R301,0))</f>
        <v>Josh</v>
      </c>
      <c r="B923">
        <f ca="1">IF($I$26="On",SMALL(Sheet4!B301:R301,3),RAND())</f>
        <v>15.17715993671249</v>
      </c>
      <c r="C923">
        <f ca="1">IF(COUNTIF(C919:C920,A923)&gt;=1,"",RAND())</f>
        <v>0.13518686397225077</v>
      </c>
      <c r="D923">
        <f ca="1">IF(C923="","",IF(COUNTIF(D921:D922,"")=2,0.5,LARGE(D921:D922,1)+1))</f>
        <v>2.5</v>
      </c>
      <c r="G923" s="1" t="str">
        <f ca="1">IF(C920="","",F921)</f>
        <v/>
      </c>
    </row>
    <row r="924" spans="1:8" x14ac:dyDescent="0.25">
      <c r="A924" t="str">
        <f ca="1">INDEX(Sheet4!B300:R300,MATCH(SMALL(Sheet4!B301:R301,4),Sheet4!B301:R301,0))</f>
        <v>Cameron</v>
      </c>
      <c r="B924">
        <f ca="1">IF($I$26="On",SMALL(Sheet4!B301:R301,4),RAND())</f>
        <v>19.010344079183941</v>
      </c>
      <c r="C924">
        <f ca="1">IF(COUNTIF(C919:C920,A924)&gt;=1,"",IF($I$26="On",IF(LARGE(D921:D923,1)+1&lt;=C918,RAND(),IF(B924&gt;=B918,"",RAND())),RAND()))</f>
        <v>0.67830121089174888</v>
      </c>
      <c r="D924">
        <f ca="1">IF(C924="","",LARGE(D921:D923,1)+1)</f>
        <v>3.5</v>
      </c>
      <c r="G924" s="1"/>
    </row>
    <row r="925" spans="1:8" x14ac:dyDescent="0.25">
      <c r="A925" t="str">
        <f ca="1">INDEX(Sheet4!B300:R300,MATCH(SMALL(Sheet4!B301:R301,5),Sheet4!B301:R301,0))</f>
        <v>Jason</v>
      </c>
      <c r="B925">
        <f ca="1">IF($I$26="On",SMALL(Sheet4!B301:R301,5),RAND())</f>
        <v>22.004949710265894</v>
      </c>
      <c r="C925">
        <f ca="1">IF(COUNTIF($C$774:$C$775,A925)&gt;=1,"",IF($I$26="On",IF(LARGE($D$776:D924,1)+1&lt;=$C$773,RAND(),IF(B925&gt;=$B$773,"",RAND())),RAND()))</f>
        <v>0.2128961165172123</v>
      </c>
      <c r="D925">
        <f ca="1">IF(C925="","",LARGE(D922:D924,1)+1)</f>
        <v>4.5</v>
      </c>
      <c r="G925" s="2" t="s">
        <v>137</v>
      </c>
    </row>
    <row r="926" spans="1:8" x14ac:dyDescent="0.25">
      <c r="A926" t="str">
        <f ca="1">INDEX(Sheet4!B300:R300,MATCH(SMALL(Sheet4!B301:R301,6),Sheet4!B301:R301,0))</f>
        <v>Alex</v>
      </c>
      <c r="B926">
        <f ca="1">IF($I$26="On",SMALL(Sheet4!B301:R301,6),RAND())</f>
        <v>39.09271954602108</v>
      </c>
      <c r="C926">
        <f ca="1">IF(COUNTIF($C$774:$C$775,A926)&gt;=1,"",IF($I$26="On",IF(LARGE($D$776:D925,1)+1&lt;=$C$773,RAND(),IF(B926&gt;=$B$773,"",RAND())),RAND()))</f>
        <v>9.1934649541943747E-2</v>
      </c>
      <c r="D926">
        <f ca="1">IF(C926="","",LARGE(D923:D925,1)+1)</f>
        <v>5.5</v>
      </c>
      <c r="G926" s="4" t="s">
        <v>175</v>
      </c>
    </row>
    <row r="927" spans="1:8" x14ac:dyDescent="0.25">
      <c r="A927" t="str">
        <f ca="1">INDEX(Sheet4!B300:R300,MATCH(SMALL(Sheet4!B301:R301,7),Sheet4!B301:R301,0))</f>
        <v>Jillian</v>
      </c>
      <c r="B927">
        <f ca="1">IF($I$26="On",SMALL(Sheet4!B301:R301,7),RAND())</f>
        <v>45.133515745606985</v>
      </c>
      <c r="C927">
        <f ca="1">IF(COUNTIF($C$774:$C$775,A927)&gt;=1,"",IF($I$26="On",IF(LARGE($D$776:D926,1)+1&lt;=$C$773,RAND(),IF(B927&gt;=$B$773,"",RAND())),RAND()))</f>
        <v>0.36063883295879817</v>
      </c>
      <c r="G927" s="1"/>
    </row>
    <row r="928" spans="1:8" x14ac:dyDescent="0.25">
      <c r="A928" t="str">
        <f ca="1">INDEX(Sheet4!B300:R300,MATCH(SMALL(Sheet4!B301:R301,8),Sheet4!B301:R301,0))</f>
        <v>Raven</v>
      </c>
      <c r="B928">
        <f ca="1">IF($I$26="On",SMALL(Sheet4!B301:R301,8),RAND())</f>
        <v>49.206725336114673</v>
      </c>
      <c r="C928">
        <f ca="1">IF(COUNTIF($C$774:$C$775,A928)&gt;=1,"",IF($I$26="On",IF(B928&gt;=$B$773,"",RAND()),RAND()))</f>
        <v>0.39033665416220042</v>
      </c>
      <c r="G928" s="2" t="s">
        <v>167</v>
      </c>
    </row>
    <row r="929" spans="1:12" x14ac:dyDescent="0.25">
      <c r="A929" t="str">
        <f ca="1">INDEX(Sheet4!B300:R300,MATCH(SMALL(Sheet4!B301:R301,9),Sheet4!B301:R301,0))</f>
        <v>Jessica</v>
      </c>
      <c r="B929">
        <f ca="1">IF($I$26="On",SMALL(Sheet4!B301:R301,9),RAND())</f>
        <v>68.240859442058181</v>
      </c>
      <c r="C929" t="str">
        <f ca="1">IF(COUNTIF($C$774:$C$775,A929)&gt;=1,"",IF($I$26="On",IF(B929&gt;=$B$773,"",RAND()),RAND()))</f>
        <v/>
      </c>
      <c r="G929" t="str">
        <f t="shared" ref="G929:G938" ca="1" si="133">F933&amp;"-"</f>
        <v>Raven-</v>
      </c>
      <c r="H929" t="str">
        <f t="shared" ref="H929:H938" ca="1" si="134">INDEX($C$933:$C$944,MATCH(F933,$A$933:$A$944,0))</f>
        <v>Yes</v>
      </c>
    </row>
    <row r="930" spans="1:12" x14ac:dyDescent="0.25">
      <c r="A930" t="str">
        <f ca="1">INDEX(Sheet4!B300:R300,MATCH(SMALL(Sheet4!B301:R301,10),Sheet4!B301:R301,0))</f>
        <v>Mark</v>
      </c>
      <c r="B930">
        <f ca="1">IF($I$26="On",SMALL(Sheet4!B301:R301,10),RAND())</f>
        <v>72.406235089083978</v>
      </c>
      <c r="C930" t="str">
        <f ca="1">IF(COUNTIF($C$774:$C$775,A930)&gt;=1,"",IF($I$26="On",IF(B930&gt;=$B$773,"",RAND()),RAND()))</f>
        <v/>
      </c>
      <c r="G930" t="str">
        <f t="shared" ca="1" si="133"/>
        <v>Matt-</v>
      </c>
      <c r="H930" t="str">
        <f t="shared" ca="1" si="134"/>
        <v>Yes</v>
      </c>
    </row>
    <row r="931" spans="1:12" x14ac:dyDescent="0.25">
      <c r="A931" t="str">
        <f ca="1">IF(C895="Halt",INDEX(Sheet4!B300:R300,MATCH(SMALL(Sheet4!B301:R301,11),Sheet4!B301:R301,0)),"")</f>
        <v>Matt</v>
      </c>
      <c r="B931">
        <f ca="1">IF(A931="","",IF($I$26="On",SMALL(Sheet4!B301:R301,11),RAND()))</f>
        <v>85.372246819883017</v>
      </c>
      <c r="C931" t="str">
        <f ca="1">IF(COUNTIF($C$774:$C$775,A931)&gt;=1,"",IF($I$26="On",IF(B931&gt;=$B$773,"",RAND()),RAND()))</f>
        <v/>
      </c>
      <c r="G931" t="str">
        <f t="shared" ca="1" si="133"/>
        <v>Jason-</v>
      </c>
      <c r="H931" t="str">
        <f t="shared" ca="1" si="134"/>
        <v>No</v>
      </c>
    </row>
    <row r="932" spans="1:12" x14ac:dyDescent="0.25">
      <c r="G932" t="str">
        <f t="shared" ca="1" si="133"/>
        <v>Cody-</v>
      </c>
      <c r="H932" t="str">
        <f t="shared" ca="1" si="134"/>
        <v>No</v>
      </c>
    </row>
    <row r="933" spans="1:12" x14ac:dyDescent="0.25">
      <c r="A933" t="str">
        <f ca="1">H904</f>
        <v>Josh</v>
      </c>
      <c r="B933">
        <f ca="1">RAND()</f>
        <v>0.21191907307681657</v>
      </c>
      <c r="C933" t="str">
        <f ca="1">IF(B933&lt;=SMALL($B$933:$B$943,$B$944),"Yes","No")</f>
        <v>Yes</v>
      </c>
      <c r="D933">
        <f ca="1">RAND()</f>
        <v>0.54452816760512412</v>
      </c>
      <c r="F933" t="str">
        <f ca="1">INDEX(A933:A944,MATCH(SMALL(D933:D944,1),D933:D944,0))</f>
        <v>Raven</v>
      </c>
      <c r="G933" t="str">
        <f t="shared" ca="1" si="133"/>
        <v>Mark-</v>
      </c>
      <c r="H933" t="str">
        <f t="shared" ca="1" si="134"/>
        <v>No</v>
      </c>
    </row>
    <row r="934" spans="1:12" x14ac:dyDescent="0.25">
      <c r="A934" t="str">
        <f t="shared" ref="A934:A943" ca="1" si="135">H906</f>
        <v>Cameron</v>
      </c>
      <c r="B934">
        <f ca="1">IF(A934="","",RAND())</f>
        <v>0.22636851459985585</v>
      </c>
      <c r="C934" t="str">
        <f ca="1">IF(A934="","",IF(B934&lt;=SMALL($B$933:$B$943,$B$944),"Yes","No"))</f>
        <v>Yes</v>
      </c>
      <c r="D934">
        <f t="shared" ref="D934:D943" ca="1" si="136">IF(A934="","",RAND())</f>
        <v>0.71789145342319249</v>
      </c>
      <c r="F934" t="str">
        <f ca="1">INDEX(A933:A944,MATCH(SMALL(D933:D944,2),D933:D944,0))</f>
        <v>Matt</v>
      </c>
      <c r="G934" t="str">
        <f t="shared" ca="1" si="133"/>
        <v>Josh-</v>
      </c>
      <c r="H934" t="str">
        <f t="shared" ca="1" si="134"/>
        <v>Yes</v>
      </c>
    </row>
    <row r="935" spans="1:12" x14ac:dyDescent="0.25">
      <c r="A935" t="str">
        <f t="shared" ca="1" si="135"/>
        <v>Alex</v>
      </c>
      <c r="B935">
        <f t="shared" ref="B935:B943" ca="1" si="137">RAND()</f>
        <v>0.31780369052716262</v>
      </c>
      <c r="C935" t="str">
        <f t="shared" ref="C935:C943" ca="1" si="138">IF(B935&lt;=SMALL($B$933:$B$943,$B$944),"Yes","No")</f>
        <v>Yes</v>
      </c>
      <c r="D935">
        <f t="shared" ca="1" si="136"/>
        <v>0.96258094610184353</v>
      </c>
      <c r="F935" t="str">
        <f ca="1">INDEX(A933:A944,MATCH(SMALL(D933:D944,3),D933:D944,0))</f>
        <v>Jason</v>
      </c>
      <c r="G935" t="str">
        <f t="shared" ca="1" si="133"/>
        <v>Jillian-</v>
      </c>
      <c r="H935" t="str">
        <f t="shared" ca="1" si="134"/>
        <v>Yes</v>
      </c>
    </row>
    <row r="936" spans="1:12" x14ac:dyDescent="0.25">
      <c r="A936" t="str">
        <f t="shared" ca="1" si="135"/>
        <v>Matt</v>
      </c>
      <c r="B936">
        <f t="shared" ca="1" si="137"/>
        <v>0.2172650128514324</v>
      </c>
      <c r="C936" t="str">
        <f t="shared" ca="1" si="138"/>
        <v>Yes</v>
      </c>
      <c r="D936">
        <f t="shared" ca="1" si="136"/>
        <v>0.19951227582298414</v>
      </c>
      <c r="F936" t="str">
        <f ca="1">INDEX(A933:A944,MATCH(SMALL(D933:D944,4),D933:D944,0))</f>
        <v>Cody</v>
      </c>
      <c r="G936" t="str">
        <f t="shared" ca="1" si="133"/>
        <v>Cameron-</v>
      </c>
      <c r="H936" t="str">
        <f t="shared" ca="1" si="134"/>
        <v>Yes</v>
      </c>
    </row>
    <row r="937" spans="1:12" x14ac:dyDescent="0.25">
      <c r="A937" t="str">
        <f t="shared" ca="1" si="135"/>
        <v>Jessica</v>
      </c>
      <c r="B937">
        <f t="shared" ca="1" si="137"/>
        <v>0.32229296148356412</v>
      </c>
      <c r="C937" t="str">
        <f t="shared" ca="1" si="138"/>
        <v>Yes</v>
      </c>
      <c r="D937">
        <f t="shared" ca="1" si="136"/>
        <v>0.99123374510416706</v>
      </c>
      <c r="F937" t="str">
        <f ca="1">INDEX(A933:A944,MATCH(SMALL(D933:D944,5),D933:D944,0))</f>
        <v>Mark</v>
      </c>
      <c r="G937" t="str">
        <f t="shared" ca="1" si="133"/>
        <v>Megan-</v>
      </c>
      <c r="H937" t="str">
        <f t="shared" ca="1" si="134"/>
        <v>No</v>
      </c>
    </row>
    <row r="938" spans="1:12" x14ac:dyDescent="0.25">
      <c r="A938" t="str">
        <f t="shared" ca="1" si="135"/>
        <v>Mark</v>
      </c>
      <c r="B938">
        <f t="shared" ca="1" si="137"/>
        <v>0.56359514378365094</v>
      </c>
      <c r="C938" t="str">
        <f t="shared" ca="1" si="138"/>
        <v>No</v>
      </c>
      <c r="D938">
        <f t="shared" ca="1" si="136"/>
        <v>0.47395975268582691</v>
      </c>
      <c r="F938" t="str">
        <f ca="1">INDEX(A933:A944,MATCH(SMALL(D933:D944,6),D933:D944,0))</f>
        <v>Josh</v>
      </c>
      <c r="G938" t="str">
        <f t="shared" ca="1" si="133"/>
        <v>Alex-</v>
      </c>
      <c r="H938" t="str">
        <f t="shared" ca="1" si="134"/>
        <v>Yes</v>
      </c>
    </row>
    <row r="939" spans="1:12" x14ac:dyDescent="0.25">
      <c r="A939" t="str">
        <f t="shared" ca="1" si="135"/>
        <v>Jason</v>
      </c>
      <c r="B939">
        <f t="shared" ca="1" si="137"/>
        <v>0.73414309957972823</v>
      </c>
      <c r="C939" t="str">
        <f t="shared" ca="1" si="138"/>
        <v>No</v>
      </c>
      <c r="D939">
        <f t="shared" ca="1" si="136"/>
        <v>0.31916413013685818</v>
      </c>
      <c r="F939" t="str">
        <f ca="1">INDEX(A933:A944,MATCH(SMALL(D933:D944,7),D933:D944,0))</f>
        <v>Jillian</v>
      </c>
      <c r="G939" t="str">
        <f ca="1">IF(F943="","",F943&amp;"-")</f>
        <v>Jessica-</v>
      </c>
      <c r="H939" t="str">
        <f ca="1">IF(A934="","",INDEX($C$933:$C$944,MATCH(F943,$A$933:$A$944,0)))</f>
        <v>Yes</v>
      </c>
    </row>
    <row r="940" spans="1:12" x14ac:dyDescent="0.25">
      <c r="A940" t="str">
        <f t="shared" ca="1" si="135"/>
        <v>Megan</v>
      </c>
      <c r="B940">
        <f t="shared" ca="1" si="137"/>
        <v>0.62462178659744105</v>
      </c>
      <c r="C940" t="str">
        <f t="shared" ca="1" si="138"/>
        <v>No</v>
      </c>
      <c r="D940">
        <f t="shared" ca="1" si="136"/>
        <v>0.85881620160260597</v>
      </c>
      <c r="F940" t="str">
        <f ca="1">INDEX(A933:A944,MATCH(SMALL(D933:D944,8),D933:D944,0))</f>
        <v>Cameron</v>
      </c>
    </row>
    <row r="941" spans="1:12" x14ac:dyDescent="0.25">
      <c r="A941" t="str">
        <f t="shared" ca="1" si="135"/>
        <v>Jillian</v>
      </c>
      <c r="B941">
        <f t="shared" ca="1" si="137"/>
        <v>0.38769874233963075</v>
      </c>
      <c r="C941" t="str">
        <f t="shared" ca="1" si="138"/>
        <v>Yes</v>
      </c>
      <c r="D941">
        <f t="shared" ca="1" si="136"/>
        <v>0.62108055538152251</v>
      </c>
      <c r="F941" t="str">
        <f ca="1">INDEX(A933:A944,MATCH(SMALL(D933:D944,9),D933:D944,0))</f>
        <v>Megan</v>
      </c>
      <c r="G941" s="29" t="str">
        <f ca="1">INDEX(C946:C958,MATCH(SMALL(D946:D958,1),D946:D958,0))</f>
        <v>Alex</v>
      </c>
      <c r="H941" s="29" t="str">
        <f ca="1">INDEX(C946:C958,MATCH(SMALL(D946:D958,2),D946:D958,0))</f>
        <v>Cameron</v>
      </c>
      <c r="I941" s="29" t="str">
        <f ca="1">IF(B944&lt;=2,"",IF(B944=5,"",INDEX(C946:C958,MATCH(SMALL(D946:D958,3),D946:D958,0))))</f>
        <v>Jessica</v>
      </c>
      <c r="J941" s="29" t="str">
        <f ca="1">IF(B944&lt;=3,"",IF(AND(B944&gt;=5,B944&lt;=7),"",INDEX(C946:C958,MATCH(SMALL(D946:D958,4),D946:D958,0))))</f>
        <v/>
      </c>
      <c r="K941" s="29" t="str">
        <f ca="1">IF(B944&lt;=9,"",INDEX(C946:C958,MATCH(SMALL(D946:D958,5),D946:D958,0)))</f>
        <v/>
      </c>
    </row>
    <row r="942" spans="1:12" x14ac:dyDescent="0.25">
      <c r="A942" t="str">
        <f t="shared" ca="1" si="135"/>
        <v>Raven</v>
      </c>
      <c r="B942">
        <f t="shared" ca="1" si="137"/>
        <v>0.37800770399516925</v>
      </c>
      <c r="C942" t="str">
        <f t="shared" ca="1" si="138"/>
        <v>Yes</v>
      </c>
      <c r="D942">
        <f t="shared" ca="1" si="136"/>
        <v>7.0772890482047046E-3</v>
      </c>
      <c r="F942" t="str">
        <f ca="1">INDEX(A933:A944,MATCH(SMALL(D933:D944,10),D933:D944,0))</f>
        <v>Alex</v>
      </c>
      <c r="G942" s="29" t="str">
        <f ca="1">IF(B944&lt;=4,"",IF(B944=5,INDEX(C946:C958,MATCH(SMALL(D946:D958,3),D946:D958,0)),IF(OR(B944=6,B944=7),INDEX(C946:C958,MATCH(SMALL(D946:D958,4),D946:D958,0)),IF(OR(B944=8,B944=9),INDEX(C946:C958,MATCH(SMALL(D946:D958,5),D946:D958,0)),IF(OR(B944=10,B944=11),INDEX(C946:C958,MATCH(SMALL(D946:D958,6),D946:D958,0)),INDEX(C946:C958,MATCH(SMALL(D946:D958,7),D946:D958,0)))))))</f>
        <v>Jillian</v>
      </c>
      <c r="H942" s="29" t="str">
        <f ca="1">IF(B944&lt;=4,"",IF(B944=5,INDEX(C946:C958,MATCH(SMALL(D946:D958,4),D946:D958,0)),IF(OR(B944=6,B944=7),INDEX(C946:C958,MATCH(SMALL(D946:D958,5),D946:D958,0)),IF(OR(B944=8,B944=9),INDEX(C946:C958,MATCH(SMALL(D946:D958,6),D946:D958,0)),IF(OR(B944=10,B944=11),INDEX(C946:C958,MATCH(SMALL(D946:D958,7),D946:D958,0)),INDEX(C946:C958,MATCH(SMALL(D946:D958,8),D946:D958,0)))))))</f>
        <v>Josh</v>
      </c>
      <c r="I942" s="29" t="str">
        <f ca="1">IF(B944&lt;=4,"",IF(B944=5,INDEX(C946:C958,MATCH(SMALL(D946:D958,5),D946:D958,0)),IF(OR(B944=6,B944=7),INDEX(C946:C958,MATCH(SMALL(D946:D958,6),D946:D958,0)),IF(OR(B944=8,B944=9),INDEX(C946:C958,MATCH(SMALL(D946:D958,7),D946:D958,0)),IF(OR(B944=10,B944=11),INDEX(C946:C958,MATCH(SMALL(D946:D958,8),D946:D958,0)),INDEX(C946:C958,MATCH(SMALL(D946:D958,9),D946:D958,0)))))))</f>
        <v>Matt</v>
      </c>
      <c r="J942" s="29" t="str">
        <f ca="1">IF(B944&lt;=6,"",IF(B944=7,INDEX(C946:C958,MATCH(SMALL(D946:D958,7),D946:D958,0)),IF(OR(B944=8,B944=9),INDEX(C946:C958,MATCH(SMALL(D946:D958,8),D946:D958,0)),IF(OR(B944=10,B944=11),INDEX(C946:C958,MATCH(SMALL(D946:D958,9),D946:D958,0)),INDEX(C946:C958,MATCH(SMALL(D946:D958,10),D946:D958,0))))))</f>
        <v>Raven</v>
      </c>
      <c r="K942" s="29" t="str">
        <f ca="1">IF(B944&lt;=8,"",IF(B944=9,INDEX(C946:C958,MATCH(SMALL(D946:D958,9),D946:D958,0)),IF(OR(B944=10,B944=11),INDEX(C946:C958,MATCH(SMALL(D946:D958,10),D946:D958,0)),INDEX(C946:C958,MATCH(SMALL(D946:D958,11),D946:D958,0)))))</f>
        <v/>
      </c>
      <c r="L942" s="29" t="str">
        <f ca="1">IF(B944&lt;=10,"",IF(B944=11,INDEX(C946:C958,MATCH(SMALL(D946:D958,11),D946:D958,0)),INDEX(C946:C958,MATCH(SMALL(D946:D958,12),D946:D958,0))))</f>
        <v/>
      </c>
    </row>
    <row r="943" spans="1:12" x14ac:dyDescent="0.25">
      <c r="A943" t="str">
        <f t="shared" ca="1" si="135"/>
        <v>Cody</v>
      </c>
      <c r="B943">
        <f t="shared" ca="1" si="137"/>
        <v>0.67861285977808605</v>
      </c>
      <c r="C943" t="str">
        <f t="shared" ca="1" si="138"/>
        <v>No</v>
      </c>
      <c r="D943">
        <f t="shared" ca="1" si="136"/>
        <v>0.40327711977457559</v>
      </c>
      <c r="F943" t="str">
        <f ca="1">IF(A934="","",INDEX(A933:A944,MATCH(SMALL(D933:D944,11),D933:D944,0)))</f>
        <v>Jessica</v>
      </c>
      <c r="G943" t="s">
        <v>54</v>
      </c>
      <c r="H943" t="str">
        <f ca="1">INDEX(C946:C958,MATCH(LARGE(E946:E958,1),E946:E958,0))</f>
        <v>Jessica</v>
      </c>
    </row>
    <row r="944" spans="1:12" x14ac:dyDescent="0.25">
      <c r="B944">
        <f ca="1">RANDBETWEEN(2,IF(A934="",10,11))</f>
        <v>7</v>
      </c>
      <c r="G944" s="3" t="s">
        <v>53</v>
      </c>
      <c r="H944" s="3" t="str">
        <f ca="1">INDEX(C946:C958,MATCH(LARGE(E946:E958,2),E946:E958,0))</f>
        <v>Raven</v>
      </c>
      <c r="I944" s="3"/>
      <c r="J944" s="3"/>
      <c r="K944" s="3"/>
    </row>
    <row r="945" spans="1:11" x14ac:dyDescent="0.25">
      <c r="D945">
        <f ca="1">SMALL(D946:D958,1)</f>
        <v>5</v>
      </c>
      <c r="G945" s="3" t="str">
        <f ca="1">IF(B944&lt;=2,"","3rd-")</f>
        <v>3rd-</v>
      </c>
      <c r="H945" s="3" t="str">
        <f ca="1">IF(G945="","",INDEX(C946:C958,MATCH(LARGE(E946:E958,3),E946:E958,0)))</f>
        <v>Matt</v>
      </c>
      <c r="I945" s="3"/>
      <c r="J945" s="3"/>
      <c r="K945" s="3"/>
    </row>
    <row r="946" spans="1:11" x14ac:dyDescent="0.25">
      <c r="C946" t="str">
        <f ca="1">INDEX(A933:A944,MATCH(SMALL(B933:B944,1),B933:B944,0))</f>
        <v>Josh</v>
      </c>
      <c r="D946">
        <f ca="1">COUNTIF($C$946:$C$958,"&lt;="&amp;C946)</f>
        <v>9</v>
      </c>
      <c r="E946">
        <f ca="1">RAND()</f>
        <v>0.61489590378556325</v>
      </c>
      <c r="G946" t="str">
        <f ca="1">IF(B944&lt;=3,"","4th-")</f>
        <v>4th-</v>
      </c>
      <c r="H946" t="str">
        <f ca="1">IF(G946="","",INDEX(C946:C958,MATCH(LARGE(E946:E958,4),E946:E958,0)))</f>
        <v>Josh</v>
      </c>
    </row>
    <row r="947" spans="1:11" x14ac:dyDescent="0.25">
      <c r="C947" t="str">
        <f ca="1">INDEX(A933:A944,MATCH(SMALL(B933:B944,2),B933:B944,0))</f>
        <v>Matt</v>
      </c>
      <c r="D947">
        <f ca="1">COUNTIF($C$946:$C$958,"&lt;="&amp;C947)</f>
        <v>10</v>
      </c>
      <c r="E947">
        <f ca="1">RAND()</f>
        <v>0.64805119826544277</v>
      </c>
      <c r="G947" t="str">
        <f ca="1">IF(B944&lt;=4,"","5th-")</f>
        <v>5th-</v>
      </c>
      <c r="H947" t="str">
        <f ca="1">IF(G947="","",INDEX(C946:C958,MATCH(LARGE(E946:E958,5),E946:E958,0)))</f>
        <v>Jillian</v>
      </c>
    </row>
    <row r="948" spans="1:11" x14ac:dyDescent="0.25">
      <c r="C948" t="str">
        <f ca="1">IF(B944&lt;=2,"",INDEX(A933:A944,MATCH(SMALL(B933:B944,3),B933:B944,0)))</f>
        <v>Cameron</v>
      </c>
      <c r="D948">
        <f t="shared" ref="D948:D956" ca="1" si="139">IF(C948="","",COUNTIF($C$946:$C$958,"&lt;="&amp;C948))</f>
        <v>6</v>
      </c>
      <c r="E948">
        <f t="shared" ref="E948:E956" ca="1" si="140">IF(C948="","",RAND())</f>
        <v>0.31526864066002702</v>
      </c>
      <c r="F948">
        <v>2</v>
      </c>
      <c r="G948" t="str">
        <f ca="1">IF(B944&lt;=5,"","6th-")</f>
        <v>6th-</v>
      </c>
      <c r="H948" t="str">
        <f ca="1">IF(G948="","",INDEX(C946:C958,MATCH(LARGE(E946:E958,6),E946:E958,0)))</f>
        <v>Cameron</v>
      </c>
    </row>
    <row r="949" spans="1:11" x14ac:dyDescent="0.25">
      <c r="C949" t="str">
        <f ca="1">IF(B944&lt;=3,"",INDEX(A933:A944,MATCH(SMALL(B933:B944,4),B933:B944,0)))</f>
        <v>Alex</v>
      </c>
      <c r="D949">
        <f t="shared" ca="1" si="139"/>
        <v>5</v>
      </c>
      <c r="E949">
        <f t="shared" ca="1" si="140"/>
        <v>0.21863581402311716</v>
      </c>
      <c r="F949">
        <f t="shared" ref="F949:F957" ca="1" si="141">IF(G945="","",F948+1)</f>
        <v>3</v>
      </c>
      <c r="G949" t="str">
        <f ca="1">IF(B944&lt;=6,"","7th-")</f>
        <v>7th-</v>
      </c>
      <c r="H949" t="str">
        <f ca="1">IF(G949="","",INDEX(C946:C958,MATCH(LARGE(E946:E958,7),E946:E958,0)))</f>
        <v>Alex</v>
      </c>
    </row>
    <row r="950" spans="1:11" x14ac:dyDescent="0.25">
      <c r="C950" t="str">
        <f ca="1">IF(B944&lt;=4,"",INDEX(A933:A944,MATCH(SMALL(B933:B944,5),B933:B944,0)))</f>
        <v>Jessica</v>
      </c>
      <c r="D950">
        <f t="shared" ca="1" si="139"/>
        <v>7</v>
      </c>
      <c r="E950">
        <f t="shared" ca="1" si="140"/>
        <v>0.97449068563367247</v>
      </c>
      <c r="F950">
        <f t="shared" ca="1" si="141"/>
        <v>4</v>
      </c>
      <c r="G950" t="str">
        <f ca="1">IF(B944&lt;=7,"","8th-")</f>
        <v/>
      </c>
      <c r="H950" t="str">
        <f ca="1">IF(G950="","",INDEX(C946:C958,MATCH(LARGE(E946:E958,8),E946:E958,0)))</f>
        <v/>
      </c>
    </row>
    <row r="951" spans="1:11" x14ac:dyDescent="0.25">
      <c r="C951" t="str">
        <f ca="1">IF(B944&lt;=5,"",INDEX(A933:A944,MATCH(SMALL(B933:B944,6),B933:B944,0)))</f>
        <v>Raven</v>
      </c>
      <c r="D951">
        <f t="shared" ca="1" si="139"/>
        <v>11</v>
      </c>
      <c r="E951">
        <f t="shared" ca="1" si="140"/>
        <v>0.70256455209532853</v>
      </c>
      <c r="F951">
        <f t="shared" ca="1" si="141"/>
        <v>5</v>
      </c>
      <c r="G951" t="str">
        <f ca="1">IF(B944&lt;=8,"","9th-")</f>
        <v/>
      </c>
      <c r="H951" t="str">
        <f ca="1">IF(G951="","",INDEX(C946:C958,MATCH(LARGE(E946:E958,9),E946:E958,0)))</f>
        <v/>
      </c>
    </row>
    <row r="952" spans="1:11" x14ac:dyDescent="0.25">
      <c r="C952" t="str">
        <f ca="1">IF(B944&lt;=6,"",INDEX(A933:A944,MATCH(SMALL(B933:B944,7),B933:B944,0)))</f>
        <v>Jillian</v>
      </c>
      <c r="D952">
        <f t="shared" ca="1" si="139"/>
        <v>8</v>
      </c>
      <c r="E952">
        <f t="shared" ca="1" si="140"/>
        <v>0.36178383870129893</v>
      </c>
      <c r="F952">
        <f t="shared" ca="1" si="141"/>
        <v>6</v>
      </c>
      <c r="G952" t="str">
        <f ca="1">IF(B944&lt;=9,"","10th-")</f>
        <v/>
      </c>
      <c r="H952" t="str">
        <f ca="1">IF(G952="","",INDEX(C946:C958,MATCH(LARGE(E946:E958,10),E946:E958,0)))</f>
        <v/>
      </c>
    </row>
    <row r="953" spans="1:11" x14ac:dyDescent="0.25">
      <c r="C953" t="str">
        <f ca="1">IF(B944&lt;=7,"",INDEX(A933:A944,MATCH(SMALL(B933:B944,8),B933:B944,0)))</f>
        <v/>
      </c>
      <c r="D953" t="str">
        <f t="shared" ca="1" si="139"/>
        <v/>
      </c>
      <c r="E953" t="str">
        <f t="shared" ca="1" si="140"/>
        <v/>
      </c>
      <c r="F953">
        <f t="shared" ca="1" si="141"/>
        <v>7</v>
      </c>
      <c r="G953" t="str">
        <f ca="1">IF(B944&lt;=10,"","11th-")</f>
        <v/>
      </c>
      <c r="H953" t="str">
        <f ca="1">IF(G953="","",INDEX(C946:C958,MATCH(LARGE(E946:E958,11),E946:E958,0)))</f>
        <v/>
      </c>
    </row>
    <row r="954" spans="1:11" x14ac:dyDescent="0.25">
      <c r="C954" t="str">
        <f ca="1">IF(B944&lt;=8,"",INDEX(A933:A944,MATCH(SMALL(B933:B944,9),B933:B944,0)))</f>
        <v/>
      </c>
      <c r="D954" t="str">
        <f t="shared" ca="1" si="139"/>
        <v/>
      </c>
      <c r="E954" t="str">
        <f t="shared" ca="1" si="140"/>
        <v/>
      </c>
      <c r="F954" t="str">
        <f t="shared" ca="1" si="141"/>
        <v/>
      </c>
    </row>
    <row r="955" spans="1:11" x14ac:dyDescent="0.25">
      <c r="C955" t="str">
        <f ca="1">IF(B944&lt;=9,"",INDEX(A933:A944,MATCH(SMALL(B933:B944,10),B933:B944,0)))</f>
        <v/>
      </c>
      <c r="D955" t="str">
        <f t="shared" ca="1" si="139"/>
        <v/>
      </c>
      <c r="E955" t="str">
        <f t="shared" ca="1" si="140"/>
        <v/>
      </c>
      <c r="F955" t="str">
        <f t="shared" ca="1" si="141"/>
        <v/>
      </c>
      <c r="G955" t="str">
        <f ca="1">H943&amp;" wins immunity for the week"</f>
        <v>Jessica wins immunity for the week</v>
      </c>
    </row>
    <row r="956" spans="1:11" x14ac:dyDescent="0.25">
      <c r="C956" t="str">
        <f ca="1">IF(B944&lt;=10,"",INDEX(A933:A944,MATCH(SMALL(B933:B944,11),B933:B944,0)))</f>
        <v/>
      </c>
      <c r="D956" t="str">
        <f t="shared" ca="1" si="139"/>
        <v/>
      </c>
      <c r="E956" t="str">
        <f t="shared" ca="1" si="140"/>
        <v/>
      </c>
      <c r="F956" t="str">
        <f t="shared" ca="1" si="141"/>
        <v/>
      </c>
      <c r="G956" t="str">
        <f ca="1">F960&amp;" is now nominated"</f>
        <v>Alex is now nominated</v>
      </c>
    </row>
    <row r="957" spans="1:11" x14ac:dyDescent="0.25">
      <c r="F957" t="str">
        <f t="shared" ca="1" si="141"/>
        <v/>
      </c>
    </row>
    <row r="958" spans="1:11" x14ac:dyDescent="0.25">
      <c r="G958" s="2" t="s">
        <v>83</v>
      </c>
    </row>
    <row r="959" spans="1:11" x14ac:dyDescent="0.25">
      <c r="E959">
        <f>Sheet4!$A$66</f>
        <v>65</v>
      </c>
      <c r="F959" t="str">
        <f ca="1">H943</f>
        <v>Jessica</v>
      </c>
      <c r="G959" s="1" t="str">
        <f ca="1">"The first person "&amp;H916&amp;" has nominated is…"</f>
        <v>The first person Christmas has nominated is…</v>
      </c>
    </row>
    <row r="960" spans="1:11" x14ac:dyDescent="0.25">
      <c r="A960" t="str">
        <f ca="1">INDEX(A921:A932,MATCH(SMALL(B921:B932,1),B921:B932,0))</f>
        <v>Cody</v>
      </c>
      <c r="B960">
        <f ca="1">IF(COUNTIF(F959:F960,A960)=1,"",1)</f>
        <v>1</v>
      </c>
      <c r="D960" t="str">
        <f ca="1">F963</f>
        <v>Cody</v>
      </c>
      <c r="E960">
        <f ca="1">INDEX(E904:E917,MATCH(D960,D904:D917,0))</f>
        <v>73.03778757742748</v>
      </c>
      <c r="F960" t="str">
        <f ca="1">INDEX(H943:H954,MATCH(LARGE(F947:F958,1),F947:F958,0))</f>
        <v>Alex</v>
      </c>
      <c r="G960" s="1" t="str">
        <f ca="1">F963</f>
        <v>Cody</v>
      </c>
    </row>
    <row r="961" spans="1:9" x14ac:dyDescent="0.25">
      <c r="A961" t="str">
        <f ca="1">INDEX(A921:A932,MATCH(SMALL(B921:B932,2),B921:B932,0))</f>
        <v>Megan</v>
      </c>
      <c r="B961">
        <f ca="1">IF(COUNTIF(F959:F960,A961)=1,"",2)</f>
        <v>2</v>
      </c>
      <c r="D961" t="str">
        <f ca="1">F964</f>
        <v>Megan</v>
      </c>
      <c r="E961" t="e">
        <f ca="1">INDEX(E904:E917,MATCH(D961,D904:D917,0))</f>
        <v>#N/A</v>
      </c>
      <c r="G961" s="1" t="str">
        <f ca="1">"The second person "&amp;H916&amp;" has nominated is…"</f>
        <v>The second person Christmas has nominated is…</v>
      </c>
    </row>
    <row r="962" spans="1:9" x14ac:dyDescent="0.25">
      <c r="A962" t="str">
        <f ca="1">INDEX(A921:A932,MATCH(SMALL(B921:B932,3),B921:B932,0))</f>
        <v>Josh</v>
      </c>
      <c r="B962">
        <f ca="1">IF(COUNTIF(F959:F960,A962)=1,"",3)</f>
        <v>3</v>
      </c>
      <c r="D962" t="str">
        <f ca="1">F960</f>
        <v>Alex</v>
      </c>
      <c r="E962">
        <f ca="1">INDEX(E904:E917,MATCH(D962,D904:D917,0))</f>
        <v>27.072683409527087</v>
      </c>
      <c r="G962" s="1" t="str">
        <f ca="1">F964</f>
        <v>Megan</v>
      </c>
    </row>
    <row r="963" spans="1:9" x14ac:dyDescent="0.25">
      <c r="A963" t="str">
        <f ca="1">INDEX(A921:A932,MATCH(SMALL(B921:B932,4),B921:B932,0))</f>
        <v>Cameron</v>
      </c>
      <c r="B963">
        <f ca="1">IF(COUNTIF(F959:F960,A963)=1,"",4)</f>
        <v>4</v>
      </c>
      <c r="D963">
        <f ca="1">COUNTIF(E960:E962,"&gt;="&amp;E959)</f>
        <v>1</v>
      </c>
      <c r="E963">
        <v>3</v>
      </c>
      <c r="F963" t="str">
        <f ca="1">INDEX(A960:A965,MATCH(SMALL(B960:B965,1),B960:B965,0))</f>
        <v>Cody</v>
      </c>
    </row>
    <row r="964" spans="1:9" x14ac:dyDescent="0.25">
      <c r="A964" t="str">
        <f ca="1">INDEX(A921:A932,MATCH(SMALL(B921:B932,5),B921:B932,0))</f>
        <v>Jason</v>
      </c>
      <c r="B964">
        <f ca="1">IF(COUNTIF(F959:F960,A964)=1,"",5)</f>
        <v>5</v>
      </c>
      <c r="E964">
        <f ca="1">IF(E963=2,IF(D963=2,3.5,D963+0.5),D963+0.5)</f>
        <v>1.5</v>
      </c>
      <c r="F964" t="str">
        <f ca="1">INDEX(A960:A965,MATCH(SMALL(B960:B965,2),B960:B965,0))</f>
        <v>Megan</v>
      </c>
      <c r="G964" s="2" t="s">
        <v>105</v>
      </c>
    </row>
    <row r="965" spans="1:9" x14ac:dyDescent="0.25">
      <c r="A965" t="str">
        <f ca="1">INDEX(A921:A932,MATCH(SMALL(B921:B932,6),B921:B932,0))</f>
        <v>Alex</v>
      </c>
      <c r="B965" t="str">
        <f ca="1">IF(COUNTIF(F959:F960,A965)=1,"",6)</f>
        <v/>
      </c>
      <c r="F965" t="str">
        <f ca="1">F960</f>
        <v>Alex</v>
      </c>
      <c r="G965" t="str">
        <f ca="1">H916&amp;"-"</f>
        <v>Christmas-</v>
      </c>
      <c r="H965" s="29" t="str">
        <f ca="1">INDEX(A967:A979,MATCH(LARGE(B967:B979,1),B967:B979,0))</f>
        <v>Josh</v>
      </c>
    </row>
    <row r="966" spans="1:9" x14ac:dyDescent="0.25">
      <c r="F966" t="str">
        <f ca="1">INDEX(A960:A965,MATCH(SMALL(B960:B965,3),B960:B965,0))</f>
        <v>Josh</v>
      </c>
      <c r="G966" t="str">
        <f ca="1">G965</f>
        <v>Christmas-</v>
      </c>
      <c r="H966" s="29" t="str">
        <f ca="1">INDEX(A967:A979,MATCH(LARGE(B967:B979,2),B967:B979,0))</f>
        <v>Jillian</v>
      </c>
    </row>
    <row r="967" spans="1:9" x14ac:dyDescent="0.25">
      <c r="A967" t="str">
        <f t="shared" ref="A967:A978" ca="1" si="142">A893</f>
        <v>Alex</v>
      </c>
      <c r="B967" t="str">
        <f t="shared" ref="B967:B977" ca="1" si="143">IF(COUNTIF($F$963:$F$965,A967)=1,"",IF(A967=$H$916,"",RAND()))</f>
        <v/>
      </c>
      <c r="C967" t="str">
        <f t="shared" ref="C967:C977" ca="1" si="144">IF(COUNTIF($G$973:$I$974,A967)=1,"",RAND())</f>
        <v/>
      </c>
      <c r="F967" t="str">
        <f ca="1">INDEX(A960:A965,MATCH(SMALL(B960:B965,4),B960:B965,0))</f>
        <v>Cameron</v>
      </c>
    </row>
    <row r="968" spans="1:9" x14ac:dyDescent="0.25">
      <c r="A968" t="str">
        <f t="shared" ca="1" si="142"/>
        <v>Cameron</v>
      </c>
      <c r="B968">
        <f t="shared" ca="1" si="143"/>
        <v>0.3055375713732329</v>
      </c>
      <c r="C968">
        <f t="shared" ca="1" si="144"/>
        <v>0.58405384952839456</v>
      </c>
      <c r="G968" s="1" t="str">
        <f ca="1">IF(F972="Yes",F970&amp;" stands up and decides to use The Ring of Replacement","")</f>
        <v/>
      </c>
    </row>
    <row r="969" spans="1:9" x14ac:dyDescent="0.25">
      <c r="A969" t="str">
        <f t="shared" ca="1" si="142"/>
        <v>Christmas</v>
      </c>
      <c r="B969" t="str">
        <f t="shared" ca="1" si="143"/>
        <v/>
      </c>
      <c r="C969" t="str">
        <f t="shared" ca="1" si="144"/>
        <v/>
      </c>
      <c r="G969" s="1" t="str">
        <f ca="1">IF(G968="","",F970&amp;" uses it to replace…")</f>
        <v/>
      </c>
    </row>
    <row r="970" spans="1:9" x14ac:dyDescent="0.25">
      <c r="A970" t="str">
        <f t="shared" ca="1" si="142"/>
        <v>Cody</v>
      </c>
      <c r="B970" t="str">
        <f t="shared" ca="1" si="143"/>
        <v/>
      </c>
      <c r="C970" t="str">
        <f t="shared" ca="1" si="144"/>
        <v/>
      </c>
      <c r="F970" s="1" t="str">
        <f ca="1">$G$387</f>
        <v>Raven</v>
      </c>
      <c r="G970" s="1" t="str">
        <f ca="1">IF(G969="","",INDEX(A982:A984,MATCH(SMALL(B982:B984,1),B982:B984,0)))</f>
        <v/>
      </c>
    </row>
    <row r="971" spans="1:9" x14ac:dyDescent="0.25">
      <c r="A971" t="str">
        <f t="shared" ca="1" si="142"/>
        <v>Jason</v>
      </c>
      <c r="B971">
        <f t="shared" ca="1" si="143"/>
        <v>0.66847200832302411</v>
      </c>
      <c r="C971">
        <f t="shared" ca="1" si="144"/>
        <v>0.54610507767937932</v>
      </c>
      <c r="F971" s="1" t="str">
        <f ca="1">IF(F834="","",IF(G832&lt;&gt;"","",IF(COUNTIF(E768:E771,F970)+COUNTIF(G884,F970)=1,"",IF(COUNTIF(H916,F970)+COUNTIF(F963:F965,F970)+COUNTIF(H965:H966,F970)+COUNTIF(A989,F970)=1,"IN",IF($I$26="On",RANDBETWEEN(1,3),RANDBETWEEN(1,4))))))</f>
        <v/>
      </c>
    </row>
    <row r="972" spans="1:9" x14ac:dyDescent="0.25">
      <c r="A972" t="str">
        <f t="shared" ca="1" si="142"/>
        <v>Jessica</v>
      </c>
      <c r="B972">
        <f t="shared" ca="1" si="143"/>
        <v>0.77298201303031233</v>
      </c>
      <c r="C972">
        <f t="shared" ca="1" si="144"/>
        <v>0.47706613839734324</v>
      </c>
      <c r="F972" t="str">
        <f ca="1">IF(F971="","",IF(F971="IN","No",IF($I$26="On",IF(F971&lt;=E964,"Yes","No"),IF(F971=1,"Yes","No"))))</f>
        <v/>
      </c>
      <c r="G972" s="2" t="s">
        <v>106</v>
      </c>
    </row>
    <row r="973" spans="1:9" x14ac:dyDescent="0.25">
      <c r="A973" t="str">
        <f t="shared" ca="1" si="142"/>
        <v>Jillian</v>
      </c>
      <c r="B973">
        <f t="shared" ca="1" si="143"/>
        <v>0.91003601128869871</v>
      </c>
      <c r="C973" t="str">
        <f t="shared" ca="1" si="144"/>
        <v/>
      </c>
      <c r="G973" s="29" t="str">
        <f ca="1">E980</f>
        <v>Christmas</v>
      </c>
      <c r="H973" s="29" t="str">
        <f ca="1">E981</f>
        <v>Cody</v>
      </c>
      <c r="I973" s="29" t="str">
        <f ca="1">E982</f>
        <v>Megan</v>
      </c>
    </row>
    <row r="974" spans="1:9" x14ac:dyDescent="0.25">
      <c r="A974" t="str">
        <f t="shared" ca="1" si="142"/>
        <v>Josh</v>
      </c>
      <c r="B974">
        <f t="shared" ca="1" si="143"/>
        <v>0.99151359625539182</v>
      </c>
      <c r="C974" t="str">
        <f t="shared" ca="1" si="144"/>
        <v/>
      </c>
      <c r="G974" s="29" t="str">
        <f ca="1">E983</f>
        <v>Alex</v>
      </c>
      <c r="H974" s="29" t="str">
        <f ca="1">E984</f>
        <v>Josh</v>
      </c>
      <c r="I974" s="29" t="str">
        <f ca="1">E985</f>
        <v>Jillian</v>
      </c>
    </row>
    <row r="975" spans="1:9" x14ac:dyDescent="0.25">
      <c r="A975" t="str">
        <f t="shared" ca="1" si="142"/>
        <v>Mark</v>
      </c>
      <c r="B975">
        <f t="shared" ca="1" si="143"/>
        <v>0.14334421222623295</v>
      </c>
      <c r="C975">
        <f t="shared" ca="1" si="144"/>
        <v>9.5876676759706569E-2</v>
      </c>
      <c r="G975" t="s">
        <v>107</v>
      </c>
      <c r="H975" t="str">
        <f ca="1">INDEX(A967:A979,MATCH(LARGE(C967:C979,1),C967:C979,0))</f>
        <v>Raven</v>
      </c>
    </row>
    <row r="976" spans="1:9" x14ac:dyDescent="0.25">
      <c r="A976" t="str">
        <f t="shared" ca="1" si="142"/>
        <v>Matt</v>
      </c>
      <c r="B976">
        <f t="shared" ca="1" si="143"/>
        <v>0.21717241452317126</v>
      </c>
      <c r="C976">
        <f t="shared" ca="1" si="144"/>
        <v>0.43656758630109405</v>
      </c>
    </row>
    <row r="977" spans="1:8" x14ac:dyDescent="0.25">
      <c r="A977" t="str">
        <f t="shared" ca="1" si="142"/>
        <v>Megan</v>
      </c>
      <c r="B977" t="str">
        <f t="shared" ca="1" si="143"/>
        <v/>
      </c>
      <c r="C977" t="str">
        <f t="shared" ca="1" si="144"/>
        <v/>
      </c>
      <c r="G977" t="s">
        <v>48</v>
      </c>
      <c r="H977" t="str">
        <f ca="1">INDEX(E980:E985,MATCH(SMALL(F980:F985,1),F980:F985,0))</f>
        <v>Megan</v>
      </c>
    </row>
    <row r="978" spans="1:8" x14ac:dyDescent="0.25">
      <c r="A978" t="str">
        <f t="shared" ca="1" si="142"/>
        <v>Raven</v>
      </c>
      <c r="B978">
        <f ca="1">IF(A978="","",IF(COUNTIF($F$963:$F$965,A978)=1,"",IF(A978=$H$916,"",RAND())))</f>
        <v>0.38743782282358008</v>
      </c>
      <c r="C978">
        <f ca="1">IF(A978="","",IF(COUNTIF($G$973:$I$974,A978)=1,"",RAND()))</f>
        <v>0.99729335904937222</v>
      </c>
      <c r="G978" t="s">
        <v>49</v>
      </c>
      <c r="H978" t="str">
        <f ca="1">INDEX(E980:E985,MATCH(SMALL(F980:F985,2),F980:F985,0))</f>
        <v>Alex</v>
      </c>
    </row>
    <row r="979" spans="1:8" x14ac:dyDescent="0.25">
      <c r="G979" t="s">
        <v>50</v>
      </c>
      <c r="H979" t="str">
        <f ca="1">INDEX(E980:E985,MATCH(SMALL(F980:F985,3),F980:F985,0))</f>
        <v>Josh</v>
      </c>
    </row>
    <row r="980" spans="1:8" x14ac:dyDescent="0.25">
      <c r="E980" t="str">
        <f ca="1">H916</f>
        <v>Christmas</v>
      </c>
      <c r="F980">
        <f t="shared" ref="F980:F985" ca="1" si="145">RAND()</f>
        <v>0.66289494118392234</v>
      </c>
      <c r="G980" t="s">
        <v>52</v>
      </c>
      <c r="H980" t="str">
        <f ca="1">INDEX(E980:E985,MATCH(SMALL(F980:F985,4),F980:F985,0))</f>
        <v>Christmas</v>
      </c>
    </row>
    <row r="981" spans="1:8" x14ac:dyDescent="0.25">
      <c r="E981" t="str">
        <f ca="1">F963</f>
        <v>Cody</v>
      </c>
      <c r="F981">
        <f t="shared" ca="1" si="145"/>
        <v>0.9837998095641578</v>
      </c>
      <c r="G981" t="s">
        <v>53</v>
      </c>
      <c r="H981" t="str">
        <f ca="1">INDEX(E980:E985,MATCH(SMALL(F980:F985,5),F980:F985,0))</f>
        <v>Jillian</v>
      </c>
    </row>
    <row r="982" spans="1:8" x14ac:dyDescent="0.25">
      <c r="A982" t="str">
        <f ca="1">H965</f>
        <v>Josh</v>
      </c>
      <c r="B982">
        <f ca="1">IF($I$26="On",INDEX(E905:E918,MATCH(A982,D905:D918,0)),RAND())</f>
        <v>16.322321659313264</v>
      </c>
      <c r="E982" t="str">
        <f ca="1">F964</f>
        <v>Megan</v>
      </c>
      <c r="F982">
        <f t="shared" ca="1" si="145"/>
        <v>7.8499646038723059E-2</v>
      </c>
      <c r="G982" t="s">
        <v>54</v>
      </c>
      <c r="H982" t="str">
        <f ca="1">INDEX(E980:E985,MATCH(SMALL(F980:F985,6),F980:F985,0))</f>
        <v>Cody</v>
      </c>
    </row>
    <row r="983" spans="1:8" x14ac:dyDescent="0.25">
      <c r="A983" t="str">
        <f ca="1">H966</f>
        <v>Jillian</v>
      </c>
      <c r="B983">
        <f ca="1">IF($I$26="On",INDEX(E905:E918,MATCH(A983,D905:D918,0)),RAND())</f>
        <v>25.012998050500968</v>
      </c>
      <c r="E983" t="str">
        <f ca="1">F965</f>
        <v>Alex</v>
      </c>
      <c r="F983">
        <f t="shared" ca="1" si="145"/>
        <v>0.11630229149830518</v>
      </c>
      <c r="G983" t="str">
        <f ca="1">"Congratulations, "&amp;H982</f>
        <v>Congratulations, Cody</v>
      </c>
    </row>
    <row r="984" spans="1:8" x14ac:dyDescent="0.25">
      <c r="B984" t="str">
        <f ca="1">IF(F972="Yes",F970,"")</f>
        <v/>
      </c>
      <c r="E984" t="str">
        <f ca="1">IF(B984="",A982,IF(A982=G970,B984,A982))</f>
        <v>Josh</v>
      </c>
      <c r="F984">
        <f t="shared" ca="1" si="145"/>
        <v>0.42384889144471971</v>
      </c>
    </row>
    <row r="985" spans="1:8" x14ac:dyDescent="0.25">
      <c r="E985" t="str">
        <f ca="1">IF(B984="",A983,IF(A983=G970,B984,A983))</f>
        <v>Jillian</v>
      </c>
      <c r="F985">
        <f t="shared" ca="1" si="145"/>
        <v>0.97208552998991216</v>
      </c>
      <c r="G985" s="2" t="s">
        <v>111</v>
      </c>
    </row>
    <row r="986" spans="1:8" x14ac:dyDescent="0.25">
      <c r="G986" t="str">
        <f ca="1">H982&amp;" has decided to use the POV to save"</f>
        <v>Cody has decided to use the POV to save</v>
      </c>
    </row>
    <row r="987" spans="1:8" x14ac:dyDescent="0.25">
      <c r="G987" t="str">
        <f ca="1">IF($I$26="On",Sheet4!A310,IF(COUNTIF(F963:F965,H982)=1,H982,IF(F994=1,F963,IF(F994=2,F964,IF(F965="","Neither Nominee",IF(F994=3,F965,"Nobody"))))))</f>
        <v>Cody</v>
      </c>
    </row>
    <row r="988" spans="1:8" x14ac:dyDescent="0.25">
      <c r="G988" t="str">
        <f ca="1">IF(G987=F965,"This POV Ceremony is adjourned",IF(G987="Nobody","This POV Ceremony is adjourned",IF(G987="Neither Nominee","This POV Ceremony is adjourned",H916&amp;" has decided to put up")))</f>
        <v>Christmas has decided to put up</v>
      </c>
    </row>
    <row r="989" spans="1:8" x14ac:dyDescent="0.25">
      <c r="G989" t="str">
        <f ca="1">IF(COUNTIF(G988,"*adjourned")=1,"",D994)</f>
        <v>Josh</v>
      </c>
    </row>
    <row r="990" spans="1:8" x14ac:dyDescent="0.25">
      <c r="G990" t="s">
        <v>152</v>
      </c>
    </row>
    <row r="991" spans="1:8" x14ac:dyDescent="0.25">
      <c r="G991" t="str">
        <f ca="1">IF(F963=G987,G989,F963)</f>
        <v>Josh</v>
      </c>
    </row>
    <row r="992" spans="1:8" x14ac:dyDescent="0.25">
      <c r="G992" t="str">
        <f ca="1">IF(F964=G987,G989,F964)</f>
        <v>Megan</v>
      </c>
    </row>
    <row r="993" spans="1:9" x14ac:dyDescent="0.25">
      <c r="G993" t="str">
        <f ca="1">IF(F965=G987,"",F965)</f>
        <v>Alex</v>
      </c>
    </row>
    <row r="994" spans="1:9" x14ac:dyDescent="0.25">
      <c r="C994" t="str">
        <f ca="1">F966</f>
        <v>Josh</v>
      </c>
      <c r="D994" t="str">
        <f ca="1">IF(C994=H982,C995,C994)</f>
        <v>Josh</v>
      </c>
      <c r="F994">
        <f ca="1">RANDBETWEEN(1,6)</f>
        <v>3</v>
      </c>
    </row>
    <row r="995" spans="1:9" x14ac:dyDescent="0.25">
      <c r="C995" t="str">
        <f ca="1">F967</f>
        <v>Cameron</v>
      </c>
      <c r="G995" s="2" t="s">
        <v>114</v>
      </c>
    </row>
    <row r="996" spans="1:9" x14ac:dyDescent="0.25">
      <c r="F996" s="3" t="str">
        <f ca="1">H916</f>
        <v>Christmas</v>
      </c>
      <c r="G996" s="29" t="str">
        <f ca="1">G991</f>
        <v>Josh</v>
      </c>
      <c r="H996" s="29" t="str">
        <f ca="1">G992</f>
        <v>Megan</v>
      </c>
      <c r="I996" s="29" t="str">
        <f ca="1">G993</f>
        <v>Alex</v>
      </c>
    </row>
    <row r="998" spans="1:9" x14ac:dyDescent="0.25">
      <c r="G998" t="str">
        <f ca="1">IF(E999="Halt",$G$509&amp;" has decided to use the Halting Hex power","")</f>
        <v/>
      </c>
    </row>
    <row r="999" spans="1:9" x14ac:dyDescent="0.25">
      <c r="D999" t="str">
        <f ca="1">IF(E860="","",IF(E860="Halt","",IF($G$509=G884,"",IF($I$26="On",Sheet4!A315,IF(COUNTIF(Game!G996:I996,$G$509)=1,RANDBETWEEN(1,2),RANDBETWEEN(1,4))))))</f>
        <v/>
      </c>
      <c r="E999" t="str">
        <f ca="1">IF(D999="","",IF(D999="No","No",IF(D999="Halt","Halt",IF(D999=1,"Halt","No"))))</f>
        <v/>
      </c>
      <c r="G999" t="str">
        <f ca="1">IF(E999="Halt","This eviction is cancelled","")</f>
        <v/>
      </c>
    </row>
    <row r="1000" spans="1:9" x14ac:dyDescent="0.25">
      <c r="G1000" t="str">
        <f ca="1">IF(E999="Halt","",E1003&amp;"-")</f>
        <v>Jillian-</v>
      </c>
      <c r="H1000" t="str">
        <f ca="1">IF(G1000="","",IF($I$26="On",INDEX(Sheet4!$B$321:$R$321,MATCH(Game!E1003,Sheet4!$B$317:$R$317,0)),IF(F1003=1,$G$996,IF(F1003=2,$H$996,$I$996))))</f>
        <v>Josh</v>
      </c>
    </row>
    <row r="1001" spans="1:9" x14ac:dyDescent="0.25">
      <c r="A1001" t="str">
        <f t="shared" ref="A1001:A1012" ca="1" si="146">A893</f>
        <v>Alex</v>
      </c>
      <c r="B1001" t="str">
        <f t="shared" ref="B1001:B1011" ca="1" si="147">IF(COUNTIF($F$996:$I$996,A1001)=1,"",RAND())</f>
        <v/>
      </c>
      <c r="G1001" t="str">
        <f t="shared" ref="G1001:G1006" ca="1" si="148">IF(G1000="","",E1004&amp;"-")</f>
        <v>Jessica-</v>
      </c>
      <c r="H1001" t="str">
        <f ca="1">IF(G1001="","",IF($I$26="On",INDEX(Sheet4!$B$321:$R$321,MATCH(Game!E1004,Sheet4!$B$317:$R$317,0)),IF(F1004=1,$G$996,IF(F1004=2,$H$996,$I$996))))</f>
        <v>Josh</v>
      </c>
    </row>
    <row r="1002" spans="1:9" x14ac:dyDescent="0.25">
      <c r="A1002" t="str">
        <f t="shared" ca="1" si="146"/>
        <v>Cameron</v>
      </c>
      <c r="B1002">
        <f t="shared" ca="1" si="147"/>
        <v>0.55352076824608332</v>
      </c>
      <c r="G1002" t="str">
        <f t="shared" ca="1" si="148"/>
        <v>Raven-</v>
      </c>
      <c r="H1002" t="str">
        <f ca="1">IF(G1002="","",IF($I$26="On",INDEX(Sheet4!$B$321:$R$321,MATCH(Game!E1005,Sheet4!$B$317:$R$317,0)),IF(F1005=1,$G$996,IF(F1005=2,$H$996,$I$996))))</f>
        <v>Megan</v>
      </c>
    </row>
    <row r="1003" spans="1:9" x14ac:dyDescent="0.25">
      <c r="A1003" t="str">
        <f t="shared" ca="1" si="146"/>
        <v>Christmas</v>
      </c>
      <c r="B1003" t="str">
        <f t="shared" ca="1" si="147"/>
        <v/>
      </c>
      <c r="E1003" t="str">
        <f ca="1">INDEX(A1001:A1014,MATCH(SMALL(B1001:B1014,1),B1001:B1014,0))</f>
        <v>Jillian</v>
      </c>
      <c r="F1003">
        <f t="shared" ref="F1003:F1009" ca="1" si="149">IF($I$996="",RANDBETWEEN(1,2),RANDBETWEEN(1,3))</f>
        <v>1</v>
      </c>
      <c r="G1003" t="str">
        <f t="shared" ca="1" si="148"/>
        <v>Mark-</v>
      </c>
      <c r="H1003" t="str">
        <f ca="1">IF(G1003="","",IF($I$26="On",INDEX(Sheet4!$B$321:$R$321,MATCH(Game!E1006,Sheet4!$B$317:$R$317,0)),IF(F1006=1,$G$996,IF(F1006=2,$H$996,$I$996))))</f>
        <v>Megan</v>
      </c>
    </row>
    <row r="1004" spans="1:9" x14ac:dyDescent="0.25">
      <c r="A1004" t="str">
        <f t="shared" ca="1" si="146"/>
        <v>Cody</v>
      </c>
      <c r="B1004">
        <f t="shared" ca="1" si="147"/>
        <v>0.61404672388758352</v>
      </c>
      <c r="E1004" t="str">
        <f ca="1">INDEX(A1001:A1014,MATCH(SMALL(B1001:B1014,2),B1001:B1014,0))</f>
        <v>Jessica</v>
      </c>
      <c r="F1004">
        <f t="shared" ca="1" si="149"/>
        <v>2</v>
      </c>
      <c r="G1004" t="str">
        <f t="shared" ca="1" si="148"/>
        <v>Cameron-</v>
      </c>
      <c r="H1004" t="str">
        <f ca="1">IF(G1004="","",IF($I$26="On",INDEX(Sheet4!$B$321:$R$321,MATCH(Game!E1007,Sheet4!$B$317:$R$317,0)),IF(F1007=1,$G$996,IF(F1007=2,$H$996,$I$996))))</f>
        <v>Josh</v>
      </c>
    </row>
    <row r="1005" spans="1:9" x14ac:dyDescent="0.25">
      <c r="A1005" t="str">
        <f t="shared" ca="1" si="146"/>
        <v>Jason</v>
      </c>
      <c r="B1005">
        <f t="shared" ca="1" si="147"/>
        <v>0.6620098324948217</v>
      </c>
      <c r="E1005" t="str">
        <f ca="1">INDEX(A1001:A1014,MATCH(SMALL(B1001:B1014,3),B1001:B1014,0))</f>
        <v>Raven</v>
      </c>
      <c r="F1005">
        <f t="shared" ca="1" si="149"/>
        <v>3</v>
      </c>
      <c r="G1005" t="str">
        <f t="shared" ca="1" si="148"/>
        <v>Cody-</v>
      </c>
      <c r="H1005" t="str">
        <f ca="1">IF(G1005="","",IF($I$26="On",INDEX(Sheet4!$B$321:$R$321,MATCH(Game!E1008,Sheet4!$B$317:$R$317,0)),IF(F1008=1,$G$996,IF(F1008=2,$H$996,$I$996))))</f>
        <v>Megan</v>
      </c>
    </row>
    <row r="1006" spans="1:9" x14ac:dyDescent="0.25">
      <c r="A1006" t="str">
        <f t="shared" ca="1" si="146"/>
        <v>Jessica</v>
      </c>
      <c r="B1006">
        <f t="shared" ca="1" si="147"/>
        <v>5.7426320968217759E-2</v>
      </c>
      <c r="E1006" t="str">
        <f ca="1">INDEX(A1001:A1014,MATCH(SMALL(B1001:B1014,4),B1001:B1014,0))</f>
        <v>Mark</v>
      </c>
      <c r="F1006">
        <f t="shared" ca="1" si="149"/>
        <v>3</v>
      </c>
      <c r="G1006" t="str">
        <f t="shared" ca="1" si="148"/>
        <v>Jason-</v>
      </c>
      <c r="H1006" t="str">
        <f ca="1">IF(G1006="","",IF($I$26="On",INDEX(Sheet4!$B$321:$R$321,MATCH(Game!E1009,Sheet4!$B$317:$R$317,0)),IF(F1009=1,$G$996,IF(F1009=2,$H$996,$I$996))))</f>
        <v>Josh</v>
      </c>
    </row>
    <row r="1007" spans="1:9" x14ac:dyDescent="0.25">
      <c r="A1007" t="str">
        <f t="shared" ca="1" si="146"/>
        <v>Jillian</v>
      </c>
      <c r="B1007">
        <f t="shared" ca="1" si="147"/>
        <v>3.7118616248088543E-2</v>
      </c>
      <c r="E1007" t="str">
        <f ca="1">INDEX(A1001:A1014,MATCH(SMALL(B1001:B1014,5),B1001:B1014,0))</f>
        <v>Cameron</v>
      </c>
      <c r="F1007">
        <f t="shared" ca="1" si="149"/>
        <v>2</v>
      </c>
      <c r="G1007" t="str">
        <f ca="1">IF(G1006="","",IF(E1010="","",E1010&amp;"-"))</f>
        <v>Matt-</v>
      </c>
      <c r="H1007" t="str">
        <f ca="1">IF(G1007="","",IF($I$26="On",INDEX(Sheet4!$B$321:$R$321,MATCH(Game!E1010,Sheet4!$B$317:$R$317,0)),IF(F1010=1,$G$996,IF(F1010=2,$H$996,$I$996))))</f>
        <v>Alex</v>
      </c>
    </row>
    <row r="1008" spans="1:9" x14ac:dyDescent="0.25">
      <c r="A1008" t="str">
        <f t="shared" ca="1" si="146"/>
        <v>Josh</v>
      </c>
      <c r="B1008" t="str">
        <f t="shared" ca="1" si="147"/>
        <v/>
      </c>
      <c r="E1008" t="str">
        <f ca="1">INDEX(A1001:A1014,MATCH(SMALL(B1001:B1014,6),B1001:B1014,0))</f>
        <v>Cody</v>
      </c>
      <c r="F1008">
        <f t="shared" ca="1" si="149"/>
        <v>3</v>
      </c>
      <c r="G1008" t="str">
        <f ca="1">IF(G1007="","",IF(E1011="","",E1011&amp;"-"))</f>
        <v/>
      </c>
      <c r="H1008" t="str">
        <f ca="1">IF(G1008="","",IF($I$26="On",INDEX(Sheet4!$B$321:$R$321,MATCH(Game!E1011,Sheet4!$B$317:$R$317,0)),IF(F1011=1,$G$996,IF(F1011=2,$H$996,$I$996))))</f>
        <v/>
      </c>
    </row>
    <row r="1009" spans="1:8" x14ac:dyDescent="0.25">
      <c r="A1009" t="str">
        <f t="shared" ca="1" si="146"/>
        <v>Mark</v>
      </c>
      <c r="B1009">
        <f t="shared" ca="1" si="147"/>
        <v>0.40653759774854081</v>
      </c>
      <c r="E1009" t="str">
        <f ca="1">INDEX(A1001:A1014,MATCH(SMALL(B1001:B1014,7),B1001:B1014,0))</f>
        <v>Jason</v>
      </c>
      <c r="F1009">
        <f t="shared" ca="1" si="149"/>
        <v>1</v>
      </c>
    </row>
    <row r="1010" spans="1:8" x14ac:dyDescent="0.25">
      <c r="A1010" t="str">
        <f t="shared" ca="1" si="146"/>
        <v>Matt</v>
      </c>
      <c r="B1010">
        <f t="shared" ca="1" si="147"/>
        <v>0.68145689045115421</v>
      </c>
      <c r="E1010" t="str">
        <f ca="1">IF(A1017&lt;=7,"",INDEX(A1001:A1014,MATCH(SMALL(B1001:B1014,8),B1001:B1014,0)))</f>
        <v>Matt</v>
      </c>
      <c r="F1010">
        <f ca="1">IF(E1010="","",IF($I$996="",RANDBETWEEN(1,2),RANDBETWEEN(1,3)))</f>
        <v>2</v>
      </c>
      <c r="G1010" t="str">
        <f ca="1">IF(E1018&gt;=2,"We have a tie!","")</f>
        <v/>
      </c>
    </row>
    <row r="1011" spans="1:8" x14ac:dyDescent="0.25">
      <c r="A1011" t="str">
        <f t="shared" ca="1" si="146"/>
        <v>Megan</v>
      </c>
      <c r="B1011" t="str">
        <f t="shared" ca="1" si="147"/>
        <v/>
      </c>
      <c r="E1011" t="str">
        <f ca="1">IF(A1017&lt;=8,"",INDEX(A1001:A1014,MATCH(SMALL(B1001:B1014,9),B1001:B1014,0)))</f>
        <v/>
      </c>
      <c r="F1011" t="str">
        <f ca="1">IF(E1011="","",IF($I$996="",RANDBETWEEN(1,2),RANDBETWEEN(1,3)))</f>
        <v/>
      </c>
      <c r="G1011" t="str">
        <f ca="1">IF(G1010="","",F996&amp;", the HOH, will break the tie")</f>
        <v/>
      </c>
    </row>
    <row r="1012" spans="1:8" x14ac:dyDescent="0.25">
      <c r="A1012" t="str">
        <f t="shared" ca="1" si="146"/>
        <v>Raven</v>
      </c>
      <c r="B1012">
        <f ca="1">IF(A1012="","",IF(COUNTIF($F$996:$I$996,A1012)=1,"",RAND()))</f>
        <v>0.20255824567434122</v>
      </c>
      <c r="G1012" t="str">
        <f ca="1">IF(G1011="","",F996&amp;"-")</f>
        <v/>
      </c>
      <c r="H1012" t="str">
        <f ca="1">IF(G1012="","",E1019)</f>
        <v/>
      </c>
    </row>
    <row r="1014" spans="1:8" x14ac:dyDescent="0.25">
      <c r="G1014" t="str">
        <f ca="1">IF(F1026="","","With "&amp;ROUND(SMALL(F1024:F1026,1),0)&amp;IF(ROUND(SMALL(F1024:F1026,1),0)=1," vote"," votes"))</f>
        <v>With 1 vote</v>
      </c>
    </row>
    <row r="1015" spans="1:8" x14ac:dyDescent="0.25">
      <c r="E1015" t="str">
        <f ca="1">G996</f>
        <v>Josh</v>
      </c>
      <c r="F1015">
        <f ca="1">IF($I$26="On",COUNTIF(H999:H1009,E1015)+INDEX(B921:B931,MATCH(E1015,A921:A931,0))/220,COUNTIF(H999:H1009,E1015)+RAND()/2.2)</f>
        <v>4.0689870906214205</v>
      </c>
      <c r="G1015" t="str">
        <f ca="1">IF(G1014="","",INDEX(E1021:E1023,MATCH(SMALL(F1021:F1023,1),F1021:F1023,0)))</f>
        <v>Alex</v>
      </c>
    </row>
    <row r="1016" spans="1:8" x14ac:dyDescent="0.25">
      <c r="E1016" t="str">
        <f ca="1">H996</f>
        <v>Megan</v>
      </c>
      <c r="F1016">
        <f ca="1">IF($I$26="On",COUNTIF(H999:H1009,E1016)+INDEX(B921:B931,MATCH(E1016,A921:A931,0))/220,COUNTIF(H999:H1009,E1016)+RAND()/2.2)</f>
        <v>3.0324176671917864</v>
      </c>
      <c r="G1016" t="str">
        <f ca="1">IF(G1015="","","You are safe")</f>
        <v>You are safe</v>
      </c>
    </row>
    <row r="1017" spans="1:8" x14ac:dyDescent="0.25">
      <c r="A1017">
        <f ca="1">COUNTIF(B1001:B1013,"&lt;=1.1")</f>
        <v>8</v>
      </c>
      <c r="E1017" t="str">
        <f ca="1">I996</f>
        <v>Alex</v>
      </c>
      <c r="F1017">
        <f ca="1">IF(E1017="","",IF($I$26="On",COUNTIF(H999:H1009,E1017)+INDEX(B921:B931,MATCH(E1017,A921:A931,0))/220,COUNTIF(H999:H1009,E1017)+RAND()/2.2))</f>
        <v>1.1776941797546412</v>
      </c>
    </row>
    <row r="1018" spans="1:8" x14ac:dyDescent="0.25">
      <c r="E1018">
        <f ca="1">IF(E999="Halt",1,COUNTIF(F1018:F1020,F1018))</f>
        <v>1</v>
      </c>
      <c r="F1018">
        <f ca="1">ROUND(LARGE(F1015:F1017,1),0)</f>
        <v>4</v>
      </c>
      <c r="G1018" t="str">
        <f ca="1">IF(G1000="","","By a vote of "&amp;ROUND(LARGE(F1021:F1023,1),0)&amp;"-"&amp;ROUND(LARGE(F1021:F1023,2),0))</f>
        <v>By a vote of 4-3</v>
      </c>
    </row>
    <row r="1019" spans="1:8" x14ac:dyDescent="0.25">
      <c r="E1019" t="str">
        <f ca="1">IF(E1018=3,INDEX(E1015:E1017,MATCH(SMALL(F1015:F1017,1),F1015:F1017,0)),INDEX(E1015:E1017,MATCH(LARGE(F1015:F1017,2),F1015:F1017,0)))</f>
        <v>Megan</v>
      </c>
      <c r="F1019">
        <f ca="1">ROUND(LARGE(F1015:F1017,2),0)</f>
        <v>3</v>
      </c>
      <c r="G1019" t="str">
        <f ca="1">IF(G1000="","",INDEX(E1021:E1023,MATCH(LARGE(F1021:F1023,1),F1021:F1023,0)))</f>
        <v>Josh</v>
      </c>
    </row>
    <row r="1020" spans="1:8" x14ac:dyDescent="0.25">
      <c r="F1020">
        <f ca="1">IF(F1017="","",ROUND(LARGE(F1015:F1017,3),0))</f>
        <v>1</v>
      </c>
      <c r="G1020" t="str">
        <f ca="1">IF(G1000="","","You have been evicted from the Big Brother House")</f>
        <v>You have been evicted from the Big Brother House</v>
      </c>
    </row>
    <row r="1021" spans="1:8" x14ac:dyDescent="0.25">
      <c r="E1021" t="str">
        <f ca="1">E1015</f>
        <v>Josh</v>
      </c>
      <c r="F1021">
        <f ca="1">COUNTIF(H1000:H1013,E1021)+RAND()/2.2</f>
        <v>4.4010773013024771</v>
      </c>
    </row>
    <row r="1022" spans="1:8" x14ac:dyDescent="0.25">
      <c r="E1022" t="str">
        <f ca="1">E1016</f>
        <v>Megan</v>
      </c>
      <c r="F1022">
        <f ca="1">COUNTIF(H1000:H1013,E1022)+RAND()/2.2</f>
        <v>3.3974346537152758</v>
      </c>
      <c r="G1022" t="str">
        <f ca="1">IF(F1026="","",F1024&amp;"-"&amp;F1025&amp;"-"&amp;F1026)</f>
        <v>4-3-1</v>
      </c>
    </row>
    <row r="1023" spans="1:8" x14ac:dyDescent="0.25">
      <c r="E1023" t="str">
        <f ca="1">E1017</f>
        <v>Alex</v>
      </c>
      <c r="F1023">
        <f ca="1">IF(E1023="","",COUNTIF(H1000:H1013,E1023)+RAND()/2.2)</f>
        <v>1.1279292647259098</v>
      </c>
    </row>
    <row r="1024" spans="1:8" x14ac:dyDescent="0.25">
      <c r="F1024">
        <f ca="1">ROUND(LARGE(F1021:F1023,1),0)</f>
        <v>4</v>
      </c>
      <c r="G1024" s="2" t="str">
        <f ca="1">IF(G1025="","","Announcement-")</f>
        <v>Announcement-</v>
      </c>
    </row>
    <row r="1025" spans="1:12" x14ac:dyDescent="0.25">
      <c r="F1025">
        <f ca="1">ROUND(LARGE(F1021:F1023,2),0)</f>
        <v>3</v>
      </c>
      <c r="G1025" t="str">
        <f ca="1">IF(G889="","All the houseguests have now reached jury!",IF(E999="Halt","","The Halting Hex has now expired"))</f>
        <v>All the houseguests have now reached jury!</v>
      </c>
    </row>
    <row r="1026" spans="1:12" x14ac:dyDescent="0.25">
      <c r="F1026">
        <f ca="1">IF(E999="Halt","",IF(F1023="","",ROUND(LARGE(F1021:F1023,3),0)))</f>
        <v>1</v>
      </c>
    </row>
    <row r="1027" spans="1:12" x14ac:dyDescent="0.25">
      <c r="G1027" s="2" t="s">
        <v>177</v>
      </c>
    </row>
    <row r="1028" spans="1:12" x14ac:dyDescent="0.25">
      <c r="G1028" s="16" t="str">
        <f ca="1">A1031</f>
        <v>Alex</v>
      </c>
      <c r="H1028" s="16" t="str">
        <f ca="1">A1032</f>
        <v>Cameron</v>
      </c>
      <c r="I1028" s="16" t="str">
        <f ca="1">A1033</f>
        <v>Christmas</v>
      </c>
      <c r="J1028" s="16" t="str">
        <f ca="1">A1034</f>
        <v>Cody</v>
      </c>
      <c r="K1028" s="16" t="str">
        <f ca="1">A1035</f>
        <v>Jason</v>
      </c>
      <c r="L1028" s="28"/>
    </row>
    <row r="1029" spans="1:12" x14ac:dyDescent="0.25">
      <c r="G1029" s="24" t="str">
        <f ca="1">IF(COUNTIF($B$1031:$F$1032,G1028)=0,"","HOH - "&amp;COUNTIF($B$1031:$F$1032,G1028))</f>
        <v/>
      </c>
      <c r="H1029" s="24" t="str">
        <f ca="1">IF(COUNTIF($B$1031:$F$1032,H1028)=0,"","HOH - "&amp;COUNTIF($B$1031:$F$1032,H1028))</f>
        <v/>
      </c>
      <c r="I1029" s="24" t="str">
        <f ca="1">IF(COUNTIF($B$1031:$F$1032,I1028)=0,"","HOH - "&amp;COUNTIF($B$1031:$F$1032,I1028))</f>
        <v>HOH - 1</v>
      </c>
      <c r="J1029" s="24" t="str">
        <f ca="1">IF(COUNTIF($B$1031:$F$1032,J1028)=0,"","HOH - "&amp;COUNTIF($B$1031:$F$1032,J1028))</f>
        <v>HOH - 1</v>
      </c>
      <c r="K1029" s="24" t="str">
        <f ca="1">IF(COUNTIF($B$1031:$F$1032,K1028)=0,"","HOH - "&amp;COUNTIF($B$1031:$F$1032,K1028))</f>
        <v/>
      </c>
      <c r="L1029" s="28"/>
    </row>
    <row r="1030" spans="1:12" x14ac:dyDescent="0.25">
      <c r="G1030" s="24" t="str">
        <f ca="1">IF(COUNTIF($B$1033:$F$1034,G1028)=0,"","POV - "&amp;COUNTIF($B$1033:$F$1034,G1028))</f>
        <v/>
      </c>
      <c r="H1030" s="24" t="str">
        <f ca="1">IF(COUNTIF($B$1033:$F$1034,H1028)=0,"","POV - "&amp;COUNTIF($B$1033:$F$1034,H1028))</f>
        <v/>
      </c>
      <c r="I1030" s="24" t="str">
        <f ca="1">IF(COUNTIF($B$1033:$F$1034,I1028)=0,"","POV - "&amp;COUNTIF($B$1033:$F$1034,I1028))</f>
        <v>POV - 2</v>
      </c>
      <c r="J1030" s="24" t="str">
        <f ca="1">IF(COUNTIF($B$1033:$F$1034,J1028)=0,"","POV - "&amp;COUNTIF($B$1033:$F$1034,J1028))</f>
        <v>POV - 1</v>
      </c>
      <c r="K1030" s="24" t="str">
        <f ca="1">IF(COUNTIF($B$1033:$F$1034,K1028)=0,"","POV - "&amp;COUNTIF($B$1033:$F$1034,K1028))</f>
        <v/>
      </c>
      <c r="L1030" s="28"/>
    </row>
    <row r="1031" spans="1:12" x14ac:dyDescent="0.25">
      <c r="A1031" t="str">
        <f ca="1">IF(A893=G1019,A894,A893)</f>
        <v>Alex</v>
      </c>
      <c r="B1031" t="str">
        <f ca="1">B896</f>
        <v>Raven</v>
      </c>
      <c r="C1031" t="str">
        <f ca="1">C896</f>
        <v>Josh</v>
      </c>
      <c r="D1031" t="str">
        <f ca="1">D896</f>
        <v>Ramses</v>
      </c>
      <c r="E1031" t="str">
        <f ca="1">E896</f>
        <v>Cody</v>
      </c>
      <c r="F1031" t="str">
        <f ca="1">F896</f>
        <v>Josh</v>
      </c>
      <c r="G1031" s="16" t="str">
        <f ca="1">A1036</f>
        <v>Jessica</v>
      </c>
      <c r="H1031" s="16" t="str">
        <f ca="1">A1037</f>
        <v>Jillian</v>
      </c>
      <c r="I1031" s="16" t="str">
        <f ca="1">A1038</f>
        <v>Mark</v>
      </c>
      <c r="J1031" s="16" t="str">
        <f ca="1">A1039</f>
        <v>Matt</v>
      </c>
      <c r="K1031" s="16" t="str">
        <f ca="1">A1040</f>
        <v>Megan</v>
      </c>
      <c r="L1031" s="16" t="str">
        <f ca="1">IF(A1041="",G1019,A1041)</f>
        <v>Raven</v>
      </c>
    </row>
    <row r="1032" spans="1:12" x14ac:dyDescent="0.25">
      <c r="A1032" t="str">
        <f t="shared" ref="A1032:A1041" ca="1" si="150">IF(A1031=A894,A895,IF(A894=$G$1019,A895,A894))</f>
        <v>Cameron</v>
      </c>
      <c r="B1032" t="str">
        <f ca="1">H916</f>
        <v>Christmas</v>
      </c>
      <c r="G1032" s="24" t="str">
        <f t="shared" ref="G1032:L1032" ca="1" si="151">IF(COUNTIF($B$1031:$F$1032,G1031)=0,"","HOH - "&amp;COUNTIF($B$1031:$F$1032,G1031))</f>
        <v/>
      </c>
      <c r="H1032" s="24" t="str">
        <f t="shared" ca="1" si="151"/>
        <v/>
      </c>
      <c r="I1032" s="24" t="str">
        <f t="shared" ca="1" si="151"/>
        <v/>
      </c>
      <c r="J1032" s="24" t="str">
        <f t="shared" ca="1" si="151"/>
        <v/>
      </c>
      <c r="K1032" s="24" t="str">
        <f t="shared" ca="1" si="151"/>
        <v/>
      </c>
      <c r="L1032" s="24" t="str">
        <f t="shared" ca="1" si="151"/>
        <v>HOH - 1</v>
      </c>
    </row>
    <row r="1033" spans="1:12" x14ac:dyDescent="0.25">
      <c r="A1033" t="str">
        <f t="shared" ca="1" si="150"/>
        <v>Christmas</v>
      </c>
      <c r="B1033" t="str">
        <f ca="1">B897</f>
        <v>Christmas</v>
      </c>
      <c r="C1033" t="str">
        <f ca="1">C897</f>
        <v>Christmas</v>
      </c>
      <c r="D1033" t="str">
        <f ca="1">D897</f>
        <v>Elena</v>
      </c>
      <c r="E1033" t="str">
        <f ca="1">E897</f>
        <v>Megan</v>
      </c>
      <c r="F1033" t="str">
        <f ca="1">F897</f>
        <v>Raven</v>
      </c>
      <c r="G1033" s="24" t="str">
        <f t="shared" ref="G1033:L1033" ca="1" si="152">IF(COUNTIF($B$1033:$F$1034,G1031)=0,"","POV - "&amp;COUNTIF($B$1033:$F$1034,G1031))</f>
        <v/>
      </c>
      <c r="H1033" s="24" t="str">
        <f t="shared" ca="1" si="152"/>
        <v/>
      </c>
      <c r="I1033" s="24" t="str">
        <f t="shared" ca="1" si="152"/>
        <v/>
      </c>
      <c r="J1033" s="24" t="str">
        <f t="shared" ca="1" si="152"/>
        <v/>
      </c>
      <c r="K1033" s="24" t="str">
        <f t="shared" ca="1" si="152"/>
        <v>POV - 1</v>
      </c>
      <c r="L1033" s="24" t="str">
        <f t="shared" ca="1" si="152"/>
        <v>POV - 1</v>
      </c>
    </row>
    <row r="1034" spans="1:12" x14ac:dyDescent="0.25">
      <c r="A1034" t="str">
        <f t="shared" ca="1" si="150"/>
        <v>Cody</v>
      </c>
      <c r="B1034" t="str">
        <f ca="1">H982</f>
        <v>Cody</v>
      </c>
      <c r="G1034" s="56" t="str">
        <f ca="1">IF(D1036="Halt",IF(G1019="",G884,G1019),G884)</f>
        <v>Josh</v>
      </c>
      <c r="H1034" s="19" t="str">
        <f ca="1">H899</f>
        <v>Elena</v>
      </c>
      <c r="I1034" s="19" t="str">
        <f ca="1">I899</f>
        <v>Ramses</v>
      </c>
      <c r="J1034" s="19" t="str">
        <f ca="1">J899</f>
        <v>Paul</v>
      </c>
      <c r="K1034" s="30" t="str">
        <f ca="1">K899</f>
        <v>Kevin</v>
      </c>
      <c r="L1034" s="19" t="str">
        <f ca="1">L899</f>
        <v>Dominique</v>
      </c>
    </row>
    <row r="1035" spans="1:12" x14ac:dyDescent="0.25">
      <c r="A1035" t="str">
        <f t="shared" ca="1" si="150"/>
        <v>Jason</v>
      </c>
      <c r="G1035" s="31" t="str">
        <f t="shared" ref="G1035:L1035" ca="1" si="153">IF(COUNTIF($B$1031:$F$1032,G1034)=0,"","HOH - "&amp;COUNTIF($B$1031:$F$1032,G1034))</f>
        <v>HOH - 2</v>
      </c>
      <c r="H1035" s="31" t="str">
        <f t="shared" ca="1" si="153"/>
        <v/>
      </c>
      <c r="I1035" s="31" t="str">
        <f t="shared" ca="1" si="153"/>
        <v>HOH - 1</v>
      </c>
      <c r="J1035" s="31" t="str">
        <f t="shared" ca="1" si="153"/>
        <v/>
      </c>
      <c r="K1035" s="32" t="str">
        <f t="shared" ca="1" si="153"/>
        <v/>
      </c>
      <c r="L1035" s="31" t="str">
        <f t="shared" ca="1" si="153"/>
        <v/>
      </c>
    </row>
    <row r="1036" spans="1:12" x14ac:dyDescent="0.25">
      <c r="A1036" t="str">
        <f t="shared" ca="1" si="150"/>
        <v>Jessica</v>
      </c>
      <c r="D1036" t="str">
        <f ca="1">IF(A1041="","","Halt")</f>
        <v>Halt</v>
      </c>
      <c r="G1036" s="33" t="str">
        <f t="shared" ref="G1036:L1036" ca="1" si="154">IF(COUNTIF($B$1033:$F$1034,G1034)=0,"","POV - "&amp;COUNTIF($B$1033:$F$1034,G1034))</f>
        <v/>
      </c>
      <c r="H1036" s="33" t="str">
        <f t="shared" ca="1" si="154"/>
        <v>POV - 1</v>
      </c>
      <c r="I1036" s="33" t="str">
        <f t="shared" ca="1" si="154"/>
        <v/>
      </c>
      <c r="J1036" s="33" t="str">
        <f t="shared" ca="1" si="154"/>
        <v/>
      </c>
      <c r="K1036" s="34" t="str">
        <f t="shared" ca="1" si="154"/>
        <v/>
      </c>
      <c r="L1036" s="33" t="str">
        <f t="shared" ca="1" si="154"/>
        <v/>
      </c>
    </row>
    <row r="1037" spans="1:12" x14ac:dyDescent="0.25">
      <c r="A1037" t="str">
        <f t="shared" ca="1" si="150"/>
        <v>Jillian</v>
      </c>
    </row>
    <row r="1038" spans="1:12" x14ac:dyDescent="0.25">
      <c r="A1038" t="str">
        <f t="shared" ca="1" si="150"/>
        <v>Mark</v>
      </c>
      <c r="G1038" s="2" t="s">
        <v>65</v>
      </c>
    </row>
    <row r="1039" spans="1:12" x14ac:dyDescent="0.25">
      <c r="A1039" t="str">
        <f t="shared" ca="1" si="150"/>
        <v>Matt</v>
      </c>
      <c r="G1039" t="s">
        <v>130</v>
      </c>
      <c r="H1039" t="str">
        <f ca="1">H916</f>
        <v>Christmas</v>
      </c>
    </row>
    <row r="1040" spans="1:12" x14ac:dyDescent="0.25">
      <c r="A1040" t="str">
        <f t="shared" ca="1" si="150"/>
        <v>Megan</v>
      </c>
    </row>
    <row r="1041" spans="1:8" x14ac:dyDescent="0.25">
      <c r="A1041" t="str">
        <f t="shared" ca="1" si="150"/>
        <v>Raven</v>
      </c>
      <c r="D1041" t="str">
        <f t="shared" ref="D1041:D1054" ca="1" si="155">D905</f>
        <v>Raven</v>
      </c>
      <c r="E1041">
        <v>101</v>
      </c>
      <c r="G1041" t="str">
        <f ca="1">IF(A1053="","","10th-")</f>
        <v>10th-</v>
      </c>
      <c r="H1041" t="str">
        <f ca="1">IF(G1041="","",INDEX(A1044:A1053,MATCH(LARGE(B1044:B1053,10),B1044:B1053,0)))</f>
        <v>Alex</v>
      </c>
    </row>
    <row r="1042" spans="1:8" x14ac:dyDescent="0.25">
      <c r="D1042" t="str">
        <f t="shared" ca="1" si="155"/>
        <v>Jessica</v>
      </c>
      <c r="E1042">
        <f t="shared" ref="E1042:E1054" ca="1" si="156">E906</f>
        <v>82.335943293871836</v>
      </c>
      <c r="G1042" t="s">
        <v>135</v>
      </c>
      <c r="H1042" t="str">
        <f ca="1">INDEX(A1044:A1053,MATCH(LARGE(B1044:B1053,9),B1044:B1053,0))</f>
        <v>Cameron</v>
      </c>
    </row>
    <row r="1043" spans="1:8" x14ac:dyDescent="0.25">
      <c r="D1043" t="str">
        <f t="shared" ca="1" si="155"/>
        <v>Cody</v>
      </c>
      <c r="E1043">
        <f t="shared" ca="1" si="156"/>
        <v>73.03778757742748</v>
      </c>
      <c r="G1043" t="s">
        <v>46</v>
      </c>
      <c r="H1043" t="str">
        <f ca="1">INDEX(A1044:A1053,MATCH(LARGE(B1044:B1053,8),B1044:B1053,0))</f>
        <v>Jason</v>
      </c>
    </row>
    <row r="1044" spans="1:8" x14ac:dyDescent="0.25">
      <c r="A1044" t="str">
        <f ca="1">IF(A1031=H1039,A1032,A1031)</f>
        <v>Alex</v>
      </c>
      <c r="B1044">
        <f t="shared" ref="B1044:B1052" ca="1" si="157">RAND()</f>
        <v>3.3242291005418534E-2</v>
      </c>
      <c r="D1044" t="str">
        <f t="shared" ca="1" si="155"/>
        <v>Ramses</v>
      </c>
      <c r="E1044">
        <f t="shared" ca="1" si="156"/>
        <v>61.058885096535313</v>
      </c>
      <c r="G1044" t="s">
        <v>47</v>
      </c>
      <c r="H1044" t="str">
        <f ca="1">INDEX(A1044:A1053,MATCH(LARGE(B1044:B1053,7),B1044:B1053,0))</f>
        <v>Megan</v>
      </c>
    </row>
    <row r="1045" spans="1:8" x14ac:dyDescent="0.25">
      <c r="A1045" t="str">
        <f t="shared" ref="A1045:A1053" ca="1" si="158">IF(A1044=A1032,A1033,IF(A1032=$H$1039,A1033,A1032))</f>
        <v>Cameron</v>
      </c>
      <c r="B1045">
        <f t="shared" ca="1" si="157"/>
        <v>0.13971118946159178</v>
      </c>
      <c r="D1045" t="str">
        <f t="shared" ca="1" si="155"/>
        <v>Elena</v>
      </c>
      <c r="E1045">
        <f t="shared" ca="1" si="156"/>
        <v>56.2767320805171</v>
      </c>
      <c r="G1045" t="s">
        <v>48</v>
      </c>
      <c r="H1045" t="str">
        <f ca="1">INDEX(A1044:A1053,MATCH(LARGE(B1044:B1053,6),B1044:B1053,0))</f>
        <v>Matt</v>
      </c>
    </row>
    <row r="1046" spans="1:8" x14ac:dyDescent="0.25">
      <c r="A1046" t="str">
        <f t="shared" ca="1" si="158"/>
        <v>Cody</v>
      </c>
      <c r="B1046">
        <f t="shared" ca="1" si="157"/>
        <v>0.66372097748447012</v>
      </c>
      <c r="D1046" t="str">
        <f t="shared" ca="1" si="155"/>
        <v>Christmas</v>
      </c>
      <c r="E1046">
        <f t="shared" ca="1" si="156"/>
        <v>49.206725336114673</v>
      </c>
      <c r="G1046" t="s">
        <v>49</v>
      </c>
      <c r="H1046" t="str">
        <f ca="1">INDEX(A1044:A1053,MATCH(LARGE(B1044:B1053,5),B1044:B1053,0))</f>
        <v>Jessica</v>
      </c>
    </row>
    <row r="1047" spans="1:8" x14ac:dyDescent="0.25">
      <c r="A1047" t="str">
        <f t="shared" ca="1" si="158"/>
        <v>Jason</v>
      </c>
      <c r="B1047">
        <f t="shared" ca="1" si="157"/>
        <v>0.14105638682253274</v>
      </c>
      <c r="D1047" t="str">
        <f t="shared" ca="1" si="155"/>
        <v>Cameron</v>
      </c>
      <c r="E1047">
        <f t="shared" ca="1" si="156"/>
        <v>47.409368445659858</v>
      </c>
      <c r="G1047" t="s">
        <v>50</v>
      </c>
      <c r="H1047" t="str">
        <f ca="1">INDEX(A1044:A1053,MATCH(LARGE(B1044:B1053,4),B1044:B1053,0))</f>
        <v>Jillian</v>
      </c>
    </row>
    <row r="1048" spans="1:8" x14ac:dyDescent="0.25">
      <c r="A1048" t="str">
        <f t="shared" ca="1" si="158"/>
        <v>Jessica</v>
      </c>
      <c r="B1048">
        <f t="shared" ca="1" si="157"/>
        <v>0.39697466197065667</v>
      </c>
      <c r="D1048" t="str">
        <f t="shared" ca="1" si="155"/>
        <v>Alex</v>
      </c>
      <c r="E1048">
        <f t="shared" ca="1" si="156"/>
        <v>27.072683409527087</v>
      </c>
      <c r="G1048" t="s">
        <v>52</v>
      </c>
      <c r="H1048" t="str">
        <f ca="1">INDEX(A1044:A1053,MATCH(LARGE(B1044:B1053,3),B1044:B1053,0))</f>
        <v>Cody</v>
      </c>
    </row>
    <row r="1049" spans="1:8" x14ac:dyDescent="0.25">
      <c r="A1049" t="str">
        <f t="shared" ca="1" si="158"/>
        <v>Jillian</v>
      </c>
      <c r="B1049">
        <f t="shared" ca="1" si="157"/>
        <v>0.60514300236227869</v>
      </c>
      <c r="D1049" t="str">
        <f t="shared" ca="1" si="155"/>
        <v>Jason</v>
      </c>
      <c r="E1049">
        <f t="shared" ca="1" si="156"/>
        <v>26.449699295094824</v>
      </c>
      <c r="G1049" t="s">
        <v>53</v>
      </c>
      <c r="H1049" t="str">
        <f ca="1">INDEX(A1044:A1053,MATCH(LARGE(B1044:B1053,2),B1044:B1053,0))</f>
        <v>Mark</v>
      </c>
    </row>
    <row r="1050" spans="1:8" x14ac:dyDescent="0.25">
      <c r="A1050" t="str">
        <f t="shared" ca="1" si="158"/>
        <v>Mark</v>
      </c>
      <c r="B1050">
        <f t="shared" ca="1" si="157"/>
        <v>0.75825554215161728</v>
      </c>
      <c r="D1050" t="str">
        <f t="shared" ca="1" si="155"/>
        <v>Jillian</v>
      </c>
      <c r="E1050">
        <f t="shared" ca="1" si="156"/>
        <v>25.012998050500968</v>
      </c>
      <c r="G1050" t="s">
        <v>54</v>
      </c>
      <c r="H1050" t="str">
        <f ca="1">INDEX(A1044:A1053,MATCH(LARGE(B1044:B1053,1),B1044:B1053,0))</f>
        <v>Raven</v>
      </c>
    </row>
    <row r="1051" spans="1:8" x14ac:dyDescent="0.25">
      <c r="A1051" t="str">
        <f t="shared" ca="1" si="158"/>
        <v>Matt</v>
      </c>
      <c r="B1051">
        <f t="shared" ca="1" si="157"/>
        <v>0.36935151608198813</v>
      </c>
      <c r="D1051" t="str">
        <f t="shared" ca="1" si="155"/>
        <v>Josh</v>
      </c>
      <c r="E1051">
        <f t="shared" ca="1" si="156"/>
        <v>16.322321659313264</v>
      </c>
      <c r="G1051" t="str">
        <f ca="1">"Congratulations, "&amp;H1050</f>
        <v>Congratulations, Raven</v>
      </c>
    </row>
    <row r="1052" spans="1:8" x14ac:dyDescent="0.25">
      <c r="A1052" t="str">
        <f t="shared" ca="1" si="158"/>
        <v>Megan</v>
      </c>
      <c r="B1052">
        <f t="shared" ca="1" si="157"/>
        <v>0.20905899066225764</v>
      </c>
      <c r="D1052" t="str">
        <f t="shared" ca="1" si="155"/>
        <v>Matt</v>
      </c>
      <c r="E1052">
        <f t="shared" ca="1" si="156"/>
        <v>16.041606218120869</v>
      </c>
      <c r="F1052">
        <v>1</v>
      </c>
    </row>
    <row r="1053" spans="1:8" x14ac:dyDescent="0.25">
      <c r="A1053" t="str">
        <f t="shared" ca="1" si="158"/>
        <v>Raven</v>
      </c>
      <c r="B1053">
        <f ca="1">IF(A1053="","",RAND())</f>
        <v>0.95292380093396789</v>
      </c>
      <c r="D1053" t="str">
        <f t="shared" ca="1" si="155"/>
        <v>Mark</v>
      </c>
      <c r="E1053">
        <f t="shared" ca="1" si="156"/>
        <v>14.404075662040396</v>
      </c>
      <c r="F1053" t="str">
        <f ca="1">G1019</f>
        <v>Josh</v>
      </c>
      <c r="G1053" s="2" t="s">
        <v>85</v>
      </c>
    </row>
    <row r="1054" spans="1:8" x14ac:dyDescent="0.25">
      <c r="D1054" t="str">
        <f t="shared" ca="1" si="155"/>
        <v>Megan</v>
      </c>
      <c r="E1054">
        <f t="shared" ca="1" si="156"/>
        <v>10.140565248618941</v>
      </c>
      <c r="F1054" t="str">
        <f ca="1">H1050</f>
        <v>Raven</v>
      </c>
      <c r="G1054" s="1" t="str">
        <f ca="1">H1050&amp;" must select "&amp;E1059&amp;" have nots for the week"</f>
        <v>Raven must select 4 have nots for the week</v>
      </c>
    </row>
    <row r="1055" spans="1:8" x14ac:dyDescent="0.25">
      <c r="B1055" s="4">
        <f>$D$374</f>
        <v>50</v>
      </c>
      <c r="C1055">
        <f>E1059</f>
        <v>4</v>
      </c>
      <c r="G1055" s="1" t="str">
        <f>IF(F1058="","",F1058&amp;" is a have not for selecting the wrong box last week")</f>
        <v/>
      </c>
    </row>
    <row r="1056" spans="1:8" x14ac:dyDescent="0.25">
      <c r="C1056" t="str">
        <f ca="1">C919</f>
        <v>Jessica</v>
      </c>
      <c r="G1056" s="1" t="s">
        <v>136</v>
      </c>
    </row>
    <row r="1057" spans="1:8" x14ac:dyDescent="0.25">
      <c r="C1057" t="str">
        <f>F1058</f>
        <v/>
      </c>
      <c r="G1057" s="1" t="str">
        <f ca="1">IF(F1058="",F1059&amp;", "&amp;F1060&amp;", "&amp;F1061&amp;" and "&amp;F1062,F1058&amp;", "&amp;F1059&amp;", "&amp;F1060&amp;" and "&amp;F1061)</f>
        <v>Megan, Jason, Jillian and Alex</v>
      </c>
    </row>
    <row r="1058" spans="1:8" x14ac:dyDescent="0.25">
      <c r="A1058" t="str">
        <f ca="1">INDEX(Sheet4!B337:R337,MATCH(SMALL(Sheet4!B338:R338,1),Sheet4!B338:R338,0))</f>
        <v>Megan</v>
      </c>
      <c r="B1058">
        <f ca="1">IF($I$26="On",SMALL(Sheet4!B338:R338,1),RAND())</f>
        <v>10.140565248618941</v>
      </c>
      <c r="C1058">
        <f ca="1">IF(COUNTIF(C1056:C1057,A1058)&gt;=1,"",RAND())</f>
        <v>0.10092801377660077</v>
      </c>
      <c r="D1058">
        <f ca="1">IF(C1058="","",0.5)</f>
        <v>0.5</v>
      </c>
      <c r="E1058" s="1"/>
      <c r="F1058" t="str">
        <f>IF(E1059=3,F961,"")</f>
        <v/>
      </c>
    </row>
    <row r="1059" spans="1:8" x14ac:dyDescent="0.25">
      <c r="A1059" t="str">
        <f ca="1">INDEX(Sheet4!B337:R337,MATCH(SMALL(Sheet4!B338:R338,2),Sheet4!B338:R338,0))</f>
        <v>Mark</v>
      </c>
      <c r="B1059">
        <f ca="1">IF($I$26="On",SMALL(Sheet4!B338:R338,2),RAND())</f>
        <v>14.404075662040396</v>
      </c>
      <c r="C1059">
        <f ca="1">IF(COUNTIF(C1056:C1057,A1059)&gt;=1,"",RAND())</f>
        <v>0.86999382505548273</v>
      </c>
      <c r="D1059">
        <f ca="1">IF(C1059="","",IF(D1058="",0.5,SMALL(D1058,1)+1))</f>
        <v>1.5</v>
      </c>
      <c r="E1059" s="4">
        <f>IF(F1052=1,4,IF(COUNTIF(F1053:F1055,F1051)=1,4,3))</f>
        <v>4</v>
      </c>
      <c r="F1059" t="str">
        <f ca="1">INDEX(A1058:A1070,MATCH(SMALL(C1058:C1070,1),C1058:C1070,0))</f>
        <v>Megan</v>
      </c>
      <c r="G1059" s="2" t="s">
        <v>137</v>
      </c>
    </row>
    <row r="1060" spans="1:8" x14ac:dyDescent="0.25">
      <c r="A1060" t="str">
        <f ca="1">INDEX(Sheet4!B337:R337,MATCH(SMALL(Sheet4!B338:R338,3),Sheet4!B338:R338,0))</f>
        <v>Matt</v>
      </c>
      <c r="B1060">
        <f ca="1">IF($I$26="On",SMALL(Sheet4!B338:R338,3),RAND())</f>
        <v>16.041606218120869</v>
      </c>
      <c r="C1060">
        <f ca="1">IF(COUNTIF(C1056:C1057,A1060)&gt;=1,"",RAND())</f>
        <v>0.52652814455358965</v>
      </c>
      <c r="D1060">
        <f ca="1">IF(C1060="","",IF(COUNTIF(D1058:D1059,"")=2,0.5,LARGE(D1058:D1059,1)+1))</f>
        <v>2.5</v>
      </c>
      <c r="F1060" t="str">
        <f ca="1">INDEX(A1058:A1070,MATCH(SMALL(C1058:C1070,2),C1058:C1070,0))</f>
        <v>Jason</v>
      </c>
      <c r="G1060" s="1" t="str">
        <f ca="1">F1068&amp;" requests the key"</f>
        <v>Jason requests the key</v>
      </c>
    </row>
    <row r="1061" spans="1:8" x14ac:dyDescent="0.25">
      <c r="A1061" t="str">
        <f ca="1">INDEX(Sheet4!B337:R337,MATCH(SMALL(Sheet4!B338:R338,4),Sheet4!B338:R338,0))</f>
        <v>Jillian</v>
      </c>
      <c r="B1061">
        <f ca="1">IF($I$26="On",SMALL(Sheet4!B338:R338,4),RAND())</f>
        <v>25.012998050500968</v>
      </c>
      <c r="C1061">
        <f ca="1">IF(COUNTIF(C1056:C1057,A1061)&gt;=1,"",IF($I$26="On",IF(LARGE(D1058:D1060,1)+1&lt;=C1055,RAND(),IF(B1061&gt;=B1055,"",RAND())),RAND()))</f>
        <v>0.33129659064060124</v>
      </c>
      <c r="D1061">
        <f ca="1">IF(C1061="","",LARGE(D1058:D1060,1)+1)</f>
        <v>3.5</v>
      </c>
      <c r="F1061" t="str">
        <f ca="1">INDEX(A1058:A1070,MATCH(SMALL(C1058:C1070,3),C1058:C1070,0))</f>
        <v>Jillian</v>
      </c>
      <c r="G1061" s="1" t="str">
        <f ca="1">IF(F1069=1,F1068&amp;" is now a Have for the week",F1068&amp;" is now a Have Not next week as well")</f>
        <v>Jason is now a Have Not next week as well</v>
      </c>
    </row>
    <row r="1062" spans="1:8" x14ac:dyDescent="0.25">
      <c r="A1062" t="str">
        <f ca="1">INDEX(Sheet4!B337:R337,MATCH(SMALL(Sheet4!B338:R338,5),Sheet4!B338:R338,0))</f>
        <v>Jason</v>
      </c>
      <c r="B1062">
        <f ca="1">IF($I$26="On",SMALL(Sheet4!B338:R338,5),RAND())</f>
        <v>26.449699295094824</v>
      </c>
      <c r="C1062">
        <f ca="1">IF(COUNTIF($C$1056:$C$1057,A1062)&gt;=1,"",IF($I$26="On",IF(LARGE($D$1059:$D$1061,1)+1&lt;=$C$1055,RAND(),IF(B1062&gt;=$B$1055,"",RAND())),RAND()))</f>
        <v>0.172916688208827</v>
      </c>
      <c r="D1062">
        <f ca="1">IF(C1062="","",LARGE(D1059:D1061,1)+1)</f>
        <v>4.5</v>
      </c>
      <c r="F1062" t="str">
        <f ca="1">IF(E1059=3,"",INDEX(A1058:A1070,MATCH(SMALL(C1058:C1070,4),C1058:C1070,0)))</f>
        <v>Alex</v>
      </c>
    </row>
    <row r="1063" spans="1:8" x14ac:dyDescent="0.25">
      <c r="A1063" t="str">
        <f ca="1">INDEX(Sheet4!B337:R337,MATCH(SMALL(Sheet4!B338:R338,6),Sheet4!B338:R338,0))</f>
        <v>Alex</v>
      </c>
      <c r="B1063">
        <f ca="1">IF($I$26="On",SMALL(Sheet4!B338:R338,6),RAND())</f>
        <v>27.072683409527087</v>
      </c>
      <c r="C1063">
        <f ca="1">IF(COUNTIF($C$774:$C$775,A1063)&gt;=1,"",IF($I$26="On",IF(LARGE($D$776:D1062,1)+1&lt;=$C$773,RAND(),IF(B1063&gt;=$B$773,"",RAND())),RAND()))</f>
        <v>0.50562594511559156</v>
      </c>
      <c r="D1063">
        <f ca="1">IF(C1063="","",LARGE(D1060:D1062,1)+1)</f>
        <v>5.5</v>
      </c>
      <c r="F1063" t="str">
        <f ca="1">IF(F1058="","",RAND())</f>
        <v/>
      </c>
      <c r="G1063" s="2" t="s">
        <v>167</v>
      </c>
    </row>
    <row r="1064" spans="1:8" x14ac:dyDescent="0.25">
      <c r="A1064" t="str">
        <f ca="1">INDEX(Sheet4!B337:R337,MATCH(SMALL(Sheet4!B338:R338,7),Sheet4!B338:R338,0))</f>
        <v>Cameron</v>
      </c>
      <c r="B1064">
        <f ca="1">IF($I$26="On",SMALL(Sheet4!B338:R338,7),RAND())</f>
        <v>47.409368445659858</v>
      </c>
      <c r="C1064">
        <f ca="1">IF(COUNTIF($C$774:$C$775,A1064)&gt;=1,"",IF($I$26="On",IF(LARGE($D$776:D1063,1)+1&lt;=$C$773,RAND(),IF(B1064&gt;=$B$773,"",RAND())),RAND()))</f>
        <v>0.6093126406107755</v>
      </c>
      <c r="F1064">
        <f ca="1">IF(F1059="","",RAND())</f>
        <v>0.3080771523947361</v>
      </c>
      <c r="G1064" t="str">
        <f t="shared" ref="G1064:G1072" ca="1" si="159">F1071&amp;"-"</f>
        <v>Megan-</v>
      </c>
      <c r="H1064" t="str">
        <f t="shared" ref="H1064:H1073" ca="1" si="160">INDEX($C$1071:$C$1080,MATCH(F1071,$A$1071:$A$1080,0))</f>
        <v>Yes</v>
      </c>
    </row>
    <row r="1065" spans="1:8" x14ac:dyDescent="0.25">
      <c r="A1065" t="str">
        <f ca="1">INDEX(Sheet4!B337:R337,MATCH(SMALL(Sheet4!B338:R338,8),Sheet4!B338:R338,0))</f>
        <v>Christmas</v>
      </c>
      <c r="B1065">
        <f ca="1">IF($I$26="On",SMALL(Sheet4!B338:R338,8),RAND())</f>
        <v>49.206725336114673</v>
      </c>
      <c r="C1065">
        <f ca="1">IF(COUNTIF($C$774:$C$775,A1065)&gt;=1,"",IF($I$26="On",IF(B1065&gt;=$B$773,"",RAND()),RAND()))</f>
        <v>0.61056263892021845</v>
      </c>
      <c r="F1065">
        <f ca="1">IF(F1060="","",RAND())</f>
        <v>0.90097405561475075</v>
      </c>
      <c r="G1065" t="str">
        <f t="shared" ca="1" si="159"/>
        <v>Mark-</v>
      </c>
      <c r="H1065" t="str">
        <f t="shared" ca="1" si="160"/>
        <v>Yes</v>
      </c>
    </row>
    <row r="1066" spans="1:8" x14ac:dyDescent="0.25">
      <c r="A1066" t="str">
        <f ca="1">INDEX(Sheet4!B337:R337,MATCH(SMALL(Sheet4!B338:R338,9),Sheet4!B338:R338,0))</f>
        <v>Cody</v>
      </c>
      <c r="B1066">
        <f ca="1">IF($I$26="On",SMALL(Sheet4!B338:R338,9),RAND())</f>
        <v>73.03778757742748</v>
      </c>
      <c r="C1066" t="str">
        <f ca="1">IF(COUNTIF($C$774:$C$775,A1066)&gt;=1,"",IF($I$26="On",IF(B1066&gt;=$B$773,"",RAND()),RAND()))</f>
        <v/>
      </c>
      <c r="F1066">
        <f ca="1">IF(F1061="","",RAND())</f>
        <v>0.74770503769726071</v>
      </c>
      <c r="G1066" t="str">
        <f t="shared" ca="1" si="159"/>
        <v>Jessica-</v>
      </c>
      <c r="H1066" t="str">
        <f t="shared" ca="1" si="160"/>
        <v>No</v>
      </c>
    </row>
    <row r="1067" spans="1:8" x14ac:dyDescent="0.25">
      <c r="A1067" t="str">
        <f ca="1">IF(COUNTIF(D1036:D1037,"Halt")=0,"",INDEX(Sheet4!B337:R337,MATCH(SMALL(Sheet4!B338:R338,10),Sheet4!B338:R338,0)))</f>
        <v>Jessica</v>
      </c>
      <c r="B1067">
        <f ca="1">IF(COUNTIF(D1036:D1037,"Halt")=0,"",IF($I$26="On",SMALL(Sheet4!B338:R338,10),RAND()))</f>
        <v>82.335943293871836</v>
      </c>
      <c r="C1067" t="str">
        <f ca="1">IF(COUNTIF($C$774:$C$775,A1067)&gt;=1,"",IF($I$26="On",IF(B1067&gt;=$B$773,"",RAND()),RAND()))</f>
        <v/>
      </c>
      <c r="F1067">
        <f ca="1">IF(F1062="","",RAND())</f>
        <v>0.74291363842690206</v>
      </c>
      <c r="G1067" t="str">
        <f t="shared" ca="1" si="159"/>
        <v>Cody-</v>
      </c>
      <c r="H1067" t="str">
        <f t="shared" ca="1" si="160"/>
        <v>No</v>
      </c>
    </row>
    <row r="1068" spans="1:8" x14ac:dyDescent="0.25">
      <c r="F1068" t="str">
        <f ca="1">INDEX(F1058:F1062,MATCH(LARGE(F1063:F1067,1),F1063:F1067,0))</f>
        <v>Jason</v>
      </c>
      <c r="G1068" t="str">
        <f t="shared" ca="1" si="159"/>
        <v>Cameron-</v>
      </c>
      <c r="H1068" t="str">
        <f t="shared" ca="1" si="160"/>
        <v>No</v>
      </c>
    </row>
    <row r="1069" spans="1:8" x14ac:dyDescent="0.25">
      <c r="F1069">
        <f ca="1">RANDBETWEEN(1,2)</f>
        <v>2</v>
      </c>
      <c r="G1069" t="str">
        <f t="shared" ca="1" si="159"/>
        <v>Matt-</v>
      </c>
      <c r="H1069" t="str">
        <f t="shared" ca="1" si="160"/>
        <v>Yes</v>
      </c>
    </row>
    <row r="1070" spans="1:8" x14ac:dyDescent="0.25">
      <c r="G1070" t="str">
        <f t="shared" ca="1" si="159"/>
        <v>Jason-</v>
      </c>
      <c r="H1070" t="str">
        <f t="shared" ca="1" si="160"/>
        <v>No</v>
      </c>
    </row>
    <row r="1071" spans="1:8" x14ac:dyDescent="0.25">
      <c r="A1071" t="str">
        <f ca="1">H1039</f>
        <v>Christmas</v>
      </c>
      <c r="B1071">
        <f ca="1">RAND()</f>
        <v>0.53209760833353148</v>
      </c>
      <c r="C1071" t="str">
        <f ca="1">IF(B1071&lt;=SMALL($B$1071:$B$1080,$B$1081),"Yes","No")</f>
        <v>Yes</v>
      </c>
      <c r="D1071">
        <f ca="1">RAND()</f>
        <v>0.95759866954131068</v>
      </c>
      <c r="F1071" t="str">
        <f ca="1">INDEX(A1071:A1082,MATCH(SMALL(D1071:D1080,1),D1071:D1080,0))</f>
        <v>Megan</v>
      </c>
      <c r="G1071" t="str">
        <f t="shared" ca="1" si="159"/>
        <v>Jillian-</v>
      </c>
      <c r="H1071" t="str">
        <f t="shared" ca="1" si="160"/>
        <v>Yes</v>
      </c>
    </row>
    <row r="1072" spans="1:8" x14ac:dyDescent="0.25">
      <c r="A1072" t="str">
        <f t="shared" ref="A1072:A1080" ca="1" si="161">H1041</f>
        <v>Alex</v>
      </c>
      <c r="B1072">
        <f ca="1">IF(A1072="","",RAND())</f>
        <v>0.80954901328149043</v>
      </c>
      <c r="C1072" t="str">
        <f ca="1">IF(B1072="","",IF(B1072&lt;=SMALL($B$1071:$B$1080,$B$1081),"Yes","No"))</f>
        <v>No</v>
      </c>
      <c r="D1072">
        <f t="shared" ref="D1072:D1080" ca="1" si="162">IF(A1072="","",RAND())</f>
        <v>0.96701340441154404</v>
      </c>
      <c r="F1072" t="str">
        <f ca="1">INDEX(A1071:A1082,MATCH(SMALL(D1071:D1080,2),D1071:D1080,0))</f>
        <v>Mark</v>
      </c>
      <c r="G1072" t="str">
        <f t="shared" ca="1" si="159"/>
        <v>Christmas-</v>
      </c>
      <c r="H1072" t="str">
        <f t="shared" ca="1" si="160"/>
        <v>Yes</v>
      </c>
    </row>
    <row r="1073" spans="1:11" x14ac:dyDescent="0.25">
      <c r="A1073" t="str">
        <f t="shared" ca="1" si="161"/>
        <v>Cameron</v>
      </c>
      <c r="B1073">
        <f t="shared" ref="B1073:B1080" ca="1" si="163">RAND()</f>
        <v>0.62730187786967095</v>
      </c>
      <c r="C1073" t="str">
        <f t="shared" ref="C1073:C1080" ca="1" si="164">IF(B1073&lt;=SMALL($B$1071:$B$1080,$B$1081),"Yes","No")</f>
        <v>No</v>
      </c>
      <c r="D1073">
        <f t="shared" ca="1" si="162"/>
        <v>0.76135662602338472</v>
      </c>
      <c r="F1073" t="str">
        <f ca="1">INDEX(A1071:A1082,MATCH(SMALL(D1071:D1080,3),D1071:D1080,0))</f>
        <v>Jessica</v>
      </c>
      <c r="G1073" t="str">
        <f ca="1">IF(A1072="","",F1080&amp;"-")</f>
        <v>Alex-</v>
      </c>
      <c r="H1073" t="str">
        <f t="shared" ca="1" si="160"/>
        <v>No</v>
      </c>
    </row>
    <row r="1074" spans="1:11" x14ac:dyDescent="0.25">
      <c r="A1074" t="str">
        <f t="shared" ca="1" si="161"/>
        <v>Jason</v>
      </c>
      <c r="B1074">
        <f t="shared" ca="1" si="163"/>
        <v>0.62823243690893993</v>
      </c>
      <c r="C1074" t="str">
        <f t="shared" ca="1" si="164"/>
        <v>No</v>
      </c>
      <c r="D1074">
        <f t="shared" ca="1" si="162"/>
        <v>0.90624931555550825</v>
      </c>
      <c r="F1074" t="str">
        <f ca="1">INDEX(A1071:A1082,MATCH(SMALL(D1071:D1080,4),D1071:D1080,0))</f>
        <v>Cody</v>
      </c>
    </row>
    <row r="1075" spans="1:11" x14ac:dyDescent="0.25">
      <c r="A1075" t="str">
        <f t="shared" ca="1" si="161"/>
        <v>Megan</v>
      </c>
      <c r="B1075">
        <f t="shared" ca="1" si="163"/>
        <v>0.59751062228547158</v>
      </c>
      <c r="C1075" t="str">
        <f t="shared" ca="1" si="164"/>
        <v>Yes</v>
      </c>
      <c r="D1075">
        <f t="shared" ca="1" si="162"/>
        <v>0.1069860648737081</v>
      </c>
      <c r="F1075" t="str">
        <f ca="1">INDEX(A1071:A1082,MATCH(SMALL(D1071:D1080,5),D1071:D1080,0))</f>
        <v>Cameron</v>
      </c>
      <c r="G1075" s="29" t="str">
        <f ca="1">INDEX(C1082:C1092,MATCH(SMALL(D1082:D1092,1),D1082:D1092,0))</f>
        <v>Christmas</v>
      </c>
      <c r="H1075" s="29" t="str">
        <f ca="1">INDEX(C1082:C1092,MATCH(SMALL(D1082:D1092,2),D1082:D1092,0))</f>
        <v>Jillian</v>
      </c>
      <c r="I1075" s="29" t="str">
        <f ca="1">IF(B1081&lt;=2,"",IF(B1081=5,"",INDEX(C1082:C1092,MATCH(SMALL(D1082:D1092,3),D1082:D1092,0))))</f>
        <v/>
      </c>
      <c r="J1075" s="29" t="str">
        <f ca="1">IF(B1081&lt;=3,"",IF(AND(B1081&gt;=5,B1081&lt;=7),"",INDEX(C1082:C1092,MATCH(SMALL(D1082:D1092,4),D1082:D1092,0))))</f>
        <v/>
      </c>
      <c r="K1075" s="29" t="str">
        <f ca="1">IF(B1081&lt;=9,"",INDEX(C1082:C1092,MATCH(SMALL(D1082:D1092,5),D1082:D1092,0)))</f>
        <v/>
      </c>
    </row>
    <row r="1076" spans="1:11" x14ac:dyDescent="0.25">
      <c r="A1076" t="str">
        <f t="shared" ca="1" si="161"/>
        <v>Matt</v>
      </c>
      <c r="B1076">
        <f t="shared" ca="1" si="163"/>
        <v>0.61039040495307118</v>
      </c>
      <c r="C1076" t="str">
        <f t="shared" ca="1" si="164"/>
        <v>Yes</v>
      </c>
      <c r="D1076">
        <f t="shared" ca="1" si="162"/>
        <v>0.78644343967104746</v>
      </c>
      <c r="F1076" t="str">
        <f ca="1">INDEX(A1071:A1082,MATCH(SMALL(D1071:D1080,6),D1071:D1080,0))</f>
        <v>Matt</v>
      </c>
      <c r="G1076" s="29" t="str">
        <f ca="1">IF(B1081&lt;=4,"",IF(B1081=5,INDEX(C1082:C1092,MATCH(SMALL(D1082:D1092,3),D1082:D1092,0)),IF(OR(B1081=6,B1081=7),INDEX(C1082:C1092,MATCH(SMALL(D1082:D1092,4),D1082:D1092,0)),IF(OR(B1081=8,B1081=9),INDEX(C1082:C1092,MATCH(SMALL(D1082:D1092,5),D1082:D1092,0)),IF(OR(B1081=10,B1081=11),INDEX(C1082:C1092,MATCH(SMALL(D1082:D1092,6),D1082:D1092,0)),INDEX(C1082:C1092,MATCH(SMALL(D1082:D1092,7),D1082:D1092,0)))))))</f>
        <v>Mark</v>
      </c>
      <c r="H1076" s="29" t="str">
        <f ca="1">IF(B1081&lt;=4,"",IF(B1081=5,INDEX(C1082:C1092,MATCH(SMALL(D1082:D1092,4),D1082:D1092,0)),IF(OR(B1081=6,B1081=7),INDEX(C1082:C1092,MATCH(SMALL(D1082:D1092,5),D1082:D1092,0)),IF(OR(B1081=8,B1081=9),INDEX(C1082:C1092,MATCH(SMALL(D1082:D1092,6),D1082:D1092,0)),IF(OR(B1081=10,B1081=11),INDEX(C1082:C1092,MATCH(SMALL(D1082:D1092,7),D1082:D1092,0)),INDEX(C1082:C1092,MATCH(SMALL(D1082:D1092,8),D1082:D1092,0)))))))</f>
        <v>Matt</v>
      </c>
      <c r="I1076" s="29" t="str">
        <f ca="1">IF(B1081&lt;=4,"",IF(B1081=5,INDEX(C1082:C1092,MATCH(SMALL(D1082:D1092,5),D1082:D1092,0)),IF(OR(B1081=6,B1081=7),INDEX(C1082:C1092,MATCH(SMALL(D1082:D1092,6),D1082:D1092,0)),IF(OR(B1081=8,B1081=9),INDEX(C1082:C1092,MATCH(SMALL(D1082:D1092,7),D1082:D1092,0)),IF(OR(B1081=10,B1081=11),INDEX(C1082:C1092,MATCH(SMALL(D1082:D1092,8),D1082:D1092,0)),INDEX(C1082:C1092,MATCH(SMALL(D1082:D1092,9),D1082:D1092,0)))))))</f>
        <v>Megan</v>
      </c>
      <c r="J1076" s="29" t="str">
        <f ca="1">IF(B1081&lt;=6,"",IF(B1081=7,INDEX(C1082:C1092,MATCH(SMALL(D1082:D1092,7),D1082:D1092,0)),IF(OR(B1081=8,B1081=9),INDEX(C1082:C1092,MATCH(SMALL(D1082:D1092,8),D1082:D1092,0)),IF(OR(B1081=10,B1081=11),INDEX(C1082:C1092,MATCH(SMALL(D1082:D1092,9),D1082:D1092,0)),INDEX(C1082:C1092,MATCH(SMALL(D1082:D1092,10),D1082:D1092,0))))))</f>
        <v/>
      </c>
      <c r="K1076" s="29" t="str">
        <f ca="1">IF(B1081&lt;=8,"",IF(B1081=9,INDEX(C1082:C1092,MATCH(SMALL(D1082:D1092,9),D1082:D1092,0)),IF(OR(B1081=10,B1081=11),INDEX(C1082:C1092,MATCH(SMALL(D1082:D1092,10),D1082:D1092,0)),INDEX(C1082:C1092,MATCH(SMALL(D1082:D1092,11),D1082:D1092,0)))))</f>
        <v/>
      </c>
    </row>
    <row r="1077" spans="1:11" x14ac:dyDescent="0.25">
      <c r="A1077" t="str">
        <f t="shared" ca="1" si="161"/>
        <v>Jessica</v>
      </c>
      <c r="B1077">
        <f t="shared" ca="1" si="163"/>
        <v>0.91263986036499667</v>
      </c>
      <c r="C1077" t="str">
        <f t="shared" ca="1" si="164"/>
        <v>No</v>
      </c>
      <c r="D1077">
        <f t="shared" ca="1" si="162"/>
        <v>0.26329125977934731</v>
      </c>
      <c r="F1077" t="str">
        <f ca="1">INDEX(A1071:A1082,MATCH(SMALL(D1071:D1080,7),D1071:D1080,0))</f>
        <v>Jason</v>
      </c>
      <c r="G1077" t="s">
        <v>54</v>
      </c>
      <c r="H1077" t="str">
        <f ca="1">INDEX(C1082:C1091,MATCH(LARGE(E1082:E1091,1),E1082:E1091,0))</f>
        <v>Matt</v>
      </c>
    </row>
    <row r="1078" spans="1:11" x14ac:dyDescent="0.25">
      <c r="A1078" t="str">
        <f t="shared" ca="1" si="161"/>
        <v>Jillian</v>
      </c>
      <c r="B1078">
        <f t="shared" ca="1" si="163"/>
        <v>0.28204170522911731</v>
      </c>
      <c r="C1078" t="str">
        <f t="shared" ca="1" si="164"/>
        <v>Yes</v>
      </c>
      <c r="D1078">
        <f t="shared" ca="1" si="162"/>
        <v>0.95194553444156926</v>
      </c>
      <c r="F1078" t="str">
        <f ca="1">INDEX(A1071:A1082,MATCH(SMALL(D1071:D1080,8),D1071:D1080,0))</f>
        <v>Jillian</v>
      </c>
      <c r="G1078" s="3" t="s">
        <v>53</v>
      </c>
      <c r="H1078" s="3" t="str">
        <f ca="1">INDEX(C1082:C1091,MATCH(LARGE(E1082:E1091,2),E1082:E1091,0))</f>
        <v>Christmas</v>
      </c>
      <c r="I1078" s="3"/>
      <c r="J1078" s="3"/>
      <c r="K1078" s="3"/>
    </row>
    <row r="1079" spans="1:11" x14ac:dyDescent="0.25">
      <c r="A1079" t="str">
        <f t="shared" ca="1" si="161"/>
        <v>Cody</v>
      </c>
      <c r="B1079">
        <f t="shared" ca="1" si="163"/>
        <v>0.95538531964934736</v>
      </c>
      <c r="C1079" t="str">
        <f t="shared" ca="1" si="164"/>
        <v>No</v>
      </c>
      <c r="D1079">
        <f t="shared" ca="1" si="162"/>
        <v>0.72763242536705619</v>
      </c>
      <c r="F1079" t="str">
        <f ca="1">INDEX(A1071:A1082,MATCH(SMALL(D1071:D1080,9),D1071:D1080,0))</f>
        <v>Christmas</v>
      </c>
      <c r="G1079" s="3" t="str">
        <f ca="1">IF(B1081&lt;=2,"","3rd-")</f>
        <v>3rd-</v>
      </c>
      <c r="H1079" s="3" t="str">
        <f ca="1">IF(C1084="","",INDEX(C1082:C1091,MATCH(LARGE(E1082:E1091,3),E1082:E1091,0)))</f>
        <v>Megan</v>
      </c>
      <c r="I1079" s="3"/>
      <c r="J1079" s="3"/>
      <c r="K1079" s="3"/>
    </row>
    <row r="1080" spans="1:11" x14ac:dyDescent="0.25">
      <c r="A1080" t="str">
        <f t="shared" ca="1" si="161"/>
        <v>Mark</v>
      </c>
      <c r="B1080">
        <f t="shared" ca="1" si="163"/>
        <v>0.52800878643479854</v>
      </c>
      <c r="C1080" t="str">
        <f t="shared" ca="1" si="164"/>
        <v>Yes</v>
      </c>
      <c r="D1080">
        <f t="shared" ca="1" si="162"/>
        <v>0.23778066058298397</v>
      </c>
      <c r="F1080" t="str">
        <f ca="1">IF(A1072="","",INDEX(A1071:A1082,MATCH(SMALL(D1071:D1080,10),D1071:D1080,0)))</f>
        <v>Alex</v>
      </c>
      <c r="G1080" t="str">
        <f ca="1">IF(B1081&lt;=3,"","4th-")</f>
        <v>4th-</v>
      </c>
      <c r="H1080" t="str">
        <f ca="1">IF(C1085="","",INDEX(C1082:C1091,MATCH(LARGE(E1082:E1091,4),E1082:E1091,0)))</f>
        <v>Mark</v>
      </c>
    </row>
    <row r="1081" spans="1:11" x14ac:dyDescent="0.25">
      <c r="B1081">
        <f ca="1">RANDBETWEEN(2,IF(A1072="",9,10))</f>
        <v>5</v>
      </c>
      <c r="D1081">
        <f ca="1">SMALL(D1082:D1092,1)</f>
        <v>6</v>
      </c>
      <c r="G1081" t="str">
        <f ca="1">IF(B1081&lt;=4,"","5th-")</f>
        <v>5th-</v>
      </c>
      <c r="H1081" t="str">
        <f ca="1">IF(C1086="","",INDEX(C1082:C1091,MATCH(LARGE(E1082:E1091,5),E1082:E1091,0)))</f>
        <v>Jillian</v>
      </c>
    </row>
    <row r="1082" spans="1:11" x14ac:dyDescent="0.25">
      <c r="C1082" t="str">
        <f ca="1">INDEX(A1071:A1082,MATCH(SMALL(B1071:B1081,1),B1071:B1081,0))</f>
        <v>Jillian</v>
      </c>
      <c r="D1082">
        <f ca="1">COUNTIF($C$1082:$C$1091,"&lt;="&amp;C1082)</f>
        <v>7</v>
      </c>
      <c r="E1082">
        <f ca="1">RAND()</f>
        <v>9.8896538583690519E-2</v>
      </c>
      <c r="F1082">
        <v>2</v>
      </c>
      <c r="G1082" t="str">
        <f ca="1">IF(B1081&lt;=5,"","6th-")</f>
        <v/>
      </c>
      <c r="H1082" t="str">
        <f ca="1">IF(C1087="","",INDEX(C1082:C1091,MATCH(LARGE(E1082:E1091,6),E1082:E1091,0)))</f>
        <v/>
      </c>
    </row>
    <row r="1083" spans="1:11" x14ac:dyDescent="0.25">
      <c r="C1083" t="str">
        <f ca="1">INDEX(A1071:A1082,MATCH(SMALL(B1071:B1081,2),B1071:B1081,0))</f>
        <v>Mark</v>
      </c>
      <c r="D1083">
        <f ca="1">COUNTIF($C$1082:$C$1091,"&lt;="&amp;C1083)</f>
        <v>8</v>
      </c>
      <c r="E1083">
        <f ca="1">RAND()</f>
        <v>0.23280367625865384</v>
      </c>
      <c r="F1083">
        <f t="shared" ref="F1083:F1090" ca="1" si="165">IF(G1079="","",F1082+1)</f>
        <v>3</v>
      </c>
      <c r="G1083" t="str">
        <f ca="1">IF(B1081&lt;=6,"","7th-")</f>
        <v/>
      </c>
      <c r="H1083" t="str">
        <f ca="1">IF(C1088="","",INDEX(C1082:C1091,MATCH(LARGE(E1082:E1091,7),E1082:E1091,0)))</f>
        <v/>
      </c>
    </row>
    <row r="1084" spans="1:11" x14ac:dyDescent="0.25">
      <c r="C1084" t="str">
        <f ca="1">IF(B1081&lt;=2,"",INDEX(A1071:A1082,MATCH(SMALL(B1071:B1081,3),B1071:B1081,0)))</f>
        <v>Christmas</v>
      </c>
      <c r="D1084">
        <f t="shared" ref="D1084:D1091" ca="1" si="166">IF(C1084="","",COUNTIF($C$1082:$C$1091,"&lt;="&amp;C1084))</f>
        <v>6</v>
      </c>
      <c r="E1084">
        <f t="shared" ref="E1084:E1091" ca="1" si="167">IF(C1084="","",RAND())</f>
        <v>0.34577140194462475</v>
      </c>
      <c r="F1084">
        <f t="shared" ca="1" si="165"/>
        <v>4</v>
      </c>
      <c r="G1084" t="str">
        <f ca="1">IF(B1081&lt;=7,"","8th-")</f>
        <v/>
      </c>
      <c r="H1084" t="str">
        <f ca="1">IF(C1089="","",INDEX(C1082:C1091,MATCH(LARGE(E1082:E1091,8),E1082:E1091,0)))</f>
        <v/>
      </c>
    </row>
    <row r="1085" spans="1:11" x14ac:dyDescent="0.25">
      <c r="C1085" t="str">
        <f ca="1">IF(B1081&lt;=3,"",INDEX(A1071:A1082,MATCH(SMALL(B1071:B1081,4),B1071:B1081,0)))</f>
        <v>Megan</v>
      </c>
      <c r="D1085">
        <f t="shared" ca="1" si="166"/>
        <v>10</v>
      </c>
      <c r="E1085">
        <f t="shared" ca="1" si="167"/>
        <v>0.34265441588009371</v>
      </c>
      <c r="F1085">
        <f t="shared" ca="1" si="165"/>
        <v>5</v>
      </c>
      <c r="G1085" t="str">
        <f ca="1">IF(B1081&lt;=8,"","9th-")</f>
        <v/>
      </c>
      <c r="H1085" t="str">
        <f ca="1">IF(C1090="","",INDEX(C1082:C1091,MATCH(LARGE(E1082:E1091,9),E1082:E1091,0)))</f>
        <v/>
      </c>
    </row>
    <row r="1086" spans="1:11" x14ac:dyDescent="0.25">
      <c r="C1086" t="str">
        <f ca="1">IF(B1081&lt;=4,"",INDEX(A1071:A1082,MATCH(SMALL(B1071:B1081,5),B1071:B1081,0)))</f>
        <v>Matt</v>
      </c>
      <c r="D1086">
        <f t="shared" ca="1" si="166"/>
        <v>9</v>
      </c>
      <c r="E1086">
        <f t="shared" ca="1" si="167"/>
        <v>0.68117953282253441</v>
      </c>
      <c r="F1086" t="str">
        <f t="shared" ca="1" si="165"/>
        <v/>
      </c>
      <c r="G1086" t="str">
        <f ca="1">IF(B1081&lt;=9,"","10th-")</f>
        <v/>
      </c>
      <c r="H1086" t="str">
        <f ca="1">IF(C1091="","",INDEX(C1082:C1091,MATCH(LARGE(E1082:E1091,10),E1082:E1091,0)))</f>
        <v/>
      </c>
    </row>
    <row r="1087" spans="1:11" x14ac:dyDescent="0.25">
      <c r="C1087" t="str">
        <f ca="1">IF(B1081&lt;=5,"",INDEX(A1071:A1082,MATCH(SMALL(B1071:B1081,6),B1071:B1081,0)))</f>
        <v/>
      </c>
      <c r="D1087" t="str">
        <f t="shared" ca="1" si="166"/>
        <v/>
      </c>
      <c r="E1087" t="str">
        <f t="shared" ca="1" si="167"/>
        <v/>
      </c>
      <c r="F1087" t="str">
        <f t="shared" ca="1" si="165"/>
        <v/>
      </c>
    </row>
    <row r="1088" spans="1:11" x14ac:dyDescent="0.25">
      <c r="C1088" t="str">
        <f ca="1">IF(B1081&lt;=6,"",INDEX(A1071:A1082,MATCH(SMALL(B1071:B1081,7),B1071:B1081,0)))</f>
        <v/>
      </c>
      <c r="D1088" t="str">
        <f t="shared" ca="1" si="166"/>
        <v/>
      </c>
      <c r="E1088" t="str">
        <f t="shared" ca="1" si="167"/>
        <v/>
      </c>
      <c r="F1088" t="str">
        <f t="shared" ca="1" si="165"/>
        <v/>
      </c>
      <c r="G1088" t="str">
        <f ca="1">H1077&amp;" wins immunity for the week"</f>
        <v>Matt wins immunity for the week</v>
      </c>
    </row>
    <row r="1089" spans="1:8" x14ac:dyDescent="0.25">
      <c r="C1089" t="str">
        <f ca="1">IF(B1081&lt;=7,"",INDEX(A1071:A1082,MATCH(SMALL(B1071:B1081,8),B1071:B1081,0)))</f>
        <v/>
      </c>
      <c r="D1089" t="str">
        <f t="shared" ca="1" si="166"/>
        <v/>
      </c>
      <c r="E1089" t="str">
        <f t="shared" ca="1" si="167"/>
        <v/>
      </c>
      <c r="F1089" t="str">
        <f t="shared" ca="1" si="165"/>
        <v/>
      </c>
      <c r="G1089" t="str">
        <f ca="1">F1093&amp;" is now nominated"</f>
        <v>Jillian is now nominated</v>
      </c>
    </row>
    <row r="1090" spans="1:8" x14ac:dyDescent="0.25">
      <c r="C1090" t="str">
        <f ca="1">IF(B1081&lt;=8,"",INDEX(A1071:A1082,MATCH(SMALL(B1071:B1081,9),B1071:B1081,0)))</f>
        <v/>
      </c>
      <c r="D1090" t="str">
        <f t="shared" ca="1" si="166"/>
        <v/>
      </c>
      <c r="E1090" t="str">
        <f t="shared" ca="1" si="167"/>
        <v/>
      </c>
      <c r="F1090" t="str">
        <f t="shared" ca="1" si="165"/>
        <v/>
      </c>
    </row>
    <row r="1091" spans="1:8" x14ac:dyDescent="0.25">
      <c r="C1091" t="str">
        <f ca="1">IF(B1081&lt;=9,"",INDEX(A1071:A1082,MATCH(SMALL(B1071:B1081,10),B1071:B1081,0)))</f>
        <v/>
      </c>
      <c r="D1091" t="str">
        <f t="shared" ca="1" si="166"/>
        <v/>
      </c>
      <c r="E1091" t="str">
        <f t="shared" ca="1" si="167"/>
        <v/>
      </c>
      <c r="G1091" s="2" t="s">
        <v>83</v>
      </c>
    </row>
    <row r="1092" spans="1:8" x14ac:dyDescent="0.25">
      <c r="E1092">
        <f>Sheet4!$A$66</f>
        <v>65</v>
      </c>
      <c r="F1092" t="str">
        <f ca="1">H1077</f>
        <v>Matt</v>
      </c>
      <c r="G1092" s="1" t="str">
        <f ca="1">"The first person "&amp;H1050&amp;" has nominated is…"</f>
        <v>The first person Raven has nominated is…</v>
      </c>
    </row>
    <row r="1093" spans="1:8" x14ac:dyDescent="0.25">
      <c r="A1093" t="str">
        <f ca="1">INDEX(A1057:A1068,MATCH(SMALL(B1057:B1068,1),B1057:B1068,0))</f>
        <v>Megan</v>
      </c>
      <c r="B1093">
        <f ca="1">IF(COUNTIF(F1092:F1093,A1093)=1,"",1)</f>
        <v>1</v>
      </c>
      <c r="D1093" t="str">
        <f ca="1">F1096</f>
        <v>Megan</v>
      </c>
      <c r="E1093">
        <f ca="1">INDEX($E$1041:$E$1054,MATCH(D1093,$D$1041:$D$1054,0))</f>
        <v>10.140565248618941</v>
      </c>
      <c r="F1093" t="str">
        <f ca="1">INDEX(H1077:H1087,MATCH(LARGE(F1081:F1091,1),F1081:F1091,0))</f>
        <v>Jillian</v>
      </c>
      <c r="G1093" s="1" t="str">
        <f ca="1">F1096</f>
        <v>Megan</v>
      </c>
    </row>
    <row r="1094" spans="1:8" x14ac:dyDescent="0.25">
      <c r="A1094" t="str">
        <f ca="1">INDEX(A1057:A1068,MATCH(SMALL(B1057:B1068,2),B1057:B1068,0))</f>
        <v>Mark</v>
      </c>
      <c r="B1094">
        <f ca="1">IF(COUNTIF(F1092:F1093,A1094)=1,"",2)</f>
        <v>2</v>
      </c>
      <c r="D1094" t="str">
        <f ca="1">F1097</f>
        <v>Mark</v>
      </c>
      <c r="E1094">
        <f ca="1">INDEX(E1041:E1054,MATCH(D1094,D1041:D1054,0))</f>
        <v>14.404075662040396</v>
      </c>
      <c r="G1094" s="1" t="str">
        <f ca="1">"The second person "&amp;H1050&amp;" has nominated is…"</f>
        <v>The second person Raven has nominated is…</v>
      </c>
    </row>
    <row r="1095" spans="1:8" x14ac:dyDescent="0.25">
      <c r="A1095" t="str">
        <f ca="1">INDEX(A1057:A1068,MATCH(SMALL(B1057:B1068,3),B1057:B1068,0))</f>
        <v>Matt</v>
      </c>
      <c r="B1095" t="str">
        <f ca="1">IF(COUNTIF(F1092:F1093,A1095)=1,"",3)</f>
        <v/>
      </c>
      <c r="D1095" t="str">
        <f ca="1">F1093</f>
        <v>Jillian</v>
      </c>
      <c r="E1095">
        <f ca="1">INDEX(E1041:E1054,MATCH(D1095,D1041:D1054,0))</f>
        <v>25.012998050500968</v>
      </c>
      <c r="G1095" s="1" t="str">
        <f ca="1">F1097</f>
        <v>Mark</v>
      </c>
    </row>
    <row r="1096" spans="1:8" x14ac:dyDescent="0.25">
      <c r="A1096" t="str">
        <f ca="1">INDEX(A1057:A1068,MATCH(SMALL(B1057:B1068,4),B1057:B1068,0))</f>
        <v>Jillian</v>
      </c>
      <c r="B1096" t="str">
        <f ca="1">IF(COUNTIF(F1092:F1093,A1096)=1,"",4)</f>
        <v/>
      </c>
      <c r="D1096">
        <f ca="1">COUNTIF(E1093:E1095,"&gt;="&amp;E1092)</f>
        <v>0</v>
      </c>
      <c r="E1096">
        <v>3</v>
      </c>
      <c r="F1096" t="str">
        <f ca="1">INDEX(A1093:A1098,MATCH(SMALL(B1093:B1098,1),B1093:B1098,0))</f>
        <v>Megan</v>
      </c>
    </row>
    <row r="1097" spans="1:8" x14ac:dyDescent="0.25">
      <c r="A1097" t="str">
        <f ca="1">INDEX(A1057:A1068,MATCH(SMALL(B1057:B1068,5),B1057:B1068,0))</f>
        <v>Jason</v>
      </c>
      <c r="B1097">
        <f ca="1">IF(COUNTIF(F1092:F1093,A1097)=1,"",5)</f>
        <v>5</v>
      </c>
      <c r="E1097">
        <f ca="1">IF(E1096=2,IF(D1096=2,3.5,D1096+0.5),D1096+0.5)</f>
        <v>0.5</v>
      </c>
      <c r="F1097" t="str">
        <f ca="1">INDEX(A1093:A1098,MATCH(SMALL(B1093:B1098,2),B1093:B1098,0))</f>
        <v>Mark</v>
      </c>
      <c r="G1097" s="2" t="s">
        <v>105</v>
      </c>
    </row>
    <row r="1098" spans="1:8" x14ac:dyDescent="0.25">
      <c r="A1098" t="str">
        <f ca="1">INDEX(A1057:A1068,MATCH(SMALL(B1057:B1068,6),B1057:B1068,0))</f>
        <v>Alex</v>
      </c>
      <c r="B1098">
        <f ca="1">IF(COUNTIF(F1092:F1093,A1098)=1,"",6)</f>
        <v>6</v>
      </c>
      <c r="F1098" t="str">
        <f ca="1">F1093</f>
        <v>Jillian</v>
      </c>
      <c r="G1098" t="str">
        <f ca="1">H1050&amp;"-"</f>
        <v>Raven-</v>
      </c>
      <c r="H1098" s="29" t="str">
        <f ca="1">INDEX(A1100:A1110,MATCH(LARGE(B1100:B1110,1),B1100:B1110,0))</f>
        <v>Cameron</v>
      </c>
    </row>
    <row r="1099" spans="1:8" x14ac:dyDescent="0.25">
      <c r="F1099" t="str">
        <f ca="1">INDEX(A1093:A1098,MATCH(SMALL(B1093:B1098,3),B1093:B1098,0))</f>
        <v>Jason</v>
      </c>
      <c r="G1099" t="str">
        <f ca="1">G1098</f>
        <v>Raven-</v>
      </c>
      <c r="H1099" s="29" t="str">
        <f ca="1">INDEX(A1100:A1110,MATCH(LARGE(B1100:B1110,2),B1100:B1110,0))</f>
        <v>Jessica</v>
      </c>
    </row>
    <row r="1100" spans="1:8" x14ac:dyDescent="0.25">
      <c r="A1100" t="str">
        <f t="shared" ref="A1100:A1110" ca="1" si="168">A1031</f>
        <v>Alex</v>
      </c>
      <c r="B1100">
        <f t="shared" ref="B1100:B1109" ca="1" si="169">IF(COUNTIF($F$1096:$F$1098,A1100)=1,"",IF(A1100=$H$1050,"",RAND()))</f>
        <v>0.24579388873603047</v>
      </c>
      <c r="C1100">
        <f t="shared" ref="C1100:C1109" ca="1" si="170">IF(COUNTIF($G$1106:$I$1107,A1100)=1,"",RAND())</f>
        <v>0.54435963689049893</v>
      </c>
      <c r="D1100">
        <f t="shared" ref="D1100:D1110" ca="1" si="171">IF(A1100=$E$1128,"",IF(A1100=$G$1106,"",RAND()))</f>
        <v>3.4539268559638403E-2</v>
      </c>
      <c r="F1100" t="str">
        <f ca="1">INDEX(A1093:A1098,MATCH(SMALL(B1093:B1098,4),B1093:B1098,0))</f>
        <v>Alex</v>
      </c>
    </row>
    <row r="1101" spans="1:8" x14ac:dyDescent="0.25">
      <c r="A1101" t="str">
        <f t="shared" ca="1" si="168"/>
        <v>Cameron</v>
      </c>
      <c r="B1101">
        <f t="shared" ca="1" si="169"/>
        <v>0.82513046599217721</v>
      </c>
      <c r="C1101" t="str">
        <f t="shared" ca="1" si="170"/>
        <v/>
      </c>
      <c r="D1101">
        <f t="shared" ca="1" si="171"/>
        <v>0.96215999026142895</v>
      </c>
      <c r="G1101" s="1" t="str">
        <f ca="1">IF(F1105="Yes",F1103&amp;" stands up and decides to use The Ring of Replacement","")</f>
        <v/>
      </c>
    </row>
    <row r="1102" spans="1:8" x14ac:dyDescent="0.25">
      <c r="A1102" t="str">
        <f t="shared" ca="1" si="168"/>
        <v>Christmas</v>
      </c>
      <c r="B1102">
        <f t="shared" ca="1" si="169"/>
        <v>0.2207215440154513</v>
      </c>
      <c r="C1102">
        <f t="shared" ca="1" si="170"/>
        <v>2.0298036932045238E-2</v>
      </c>
      <c r="D1102">
        <f t="shared" ca="1" si="171"/>
        <v>0.16148550236239256</v>
      </c>
      <c r="G1102" s="1" t="str">
        <f ca="1">IF(G1101="","",F1103&amp;" uses it to replace…")</f>
        <v/>
      </c>
    </row>
    <row r="1103" spans="1:8" x14ac:dyDescent="0.25">
      <c r="A1103" t="str">
        <f t="shared" ca="1" si="168"/>
        <v>Cody</v>
      </c>
      <c r="B1103">
        <f t="shared" ca="1" si="169"/>
        <v>0.58536822835835978</v>
      </c>
      <c r="C1103">
        <f t="shared" ca="1" si="170"/>
        <v>0.43137768068994087</v>
      </c>
      <c r="D1103">
        <f t="shared" ca="1" si="171"/>
        <v>0.33637984751115635</v>
      </c>
      <c r="F1103" s="1" t="str">
        <f ca="1">$G$387</f>
        <v>Raven</v>
      </c>
      <c r="G1103" s="1" t="str">
        <f ca="1">IF(G1102="","",INDEX(A1115:A1116,MATCH(SMALL(B1115:B1116,1),B1115:B1116,0)))</f>
        <v/>
      </c>
    </row>
    <row r="1104" spans="1:8" x14ac:dyDescent="0.25">
      <c r="A1104" t="str">
        <f t="shared" ca="1" si="168"/>
        <v>Jason</v>
      </c>
      <c r="B1104">
        <f t="shared" ca="1" si="169"/>
        <v>0.19663127718840201</v>
      </c>
      <c r="C1104">
        <f t="shared" ca="1" si="170"/>
        <v>0.30193496059535241</v>
      </c>
      <c r="D1104">
        <f t="shared" ca="1" si="171"/>
        <v>0.47230651796780487</v>
      </c>
      <c r="F1104" s="1" t="str">
        <f ca="1">IF(F971="","",IF(G968&lt;&gt;"","",IF(COUNTIF(E901:E904,F1103)+COUNTIF(G1019,F1103)=1,"",IF(COUNTIF(H1050,F1103)+COUNTIF(F1096:F1098,F1103)+COUNTIF(H1098:H1099,F1103)+COUNTIF(A1125,F1103)=1,"IN",RANDBETWEEN(1,3)))))</f>
        <v/>
      </c>
    </row>
    <row r="1105" spans="1:9" x14ac:dyDescent="0.25">
      <c r="A1105" t="str">
        <f t="shared" ca="1" si="168"/>
        <v>Jessica</v>
      </c>
      <c r="B1105">
        <f t="shared" ca="1" si="169"/>
        <v>0.71485225846712053</v>
      </c>
      <c r="C1105" t="str">
        <f t="shared" ca="1" si="170"/>
        <v/>
      </c>
      <c r="D1105" t="str">
        <f t="shared" ca="1" si="171"/>
        <v/>
      </c>
      <c r="F1105" t="str">
        <f ca="1">IF(F1104="","",IF(F1104="IN","No",IF($I$26="On",IF(F1104&lt;=E1097,"Yes","No"),IF(F1104=1,"Yes","No"))))</f>
        <v/>
      </c>
      <c r="G1105" s="2" t="s">
        <v>106</v>
      </c>
    </row>
    <row r="1106" spans="1:9" x14ac:dyDescent="0.25">
      <c r="A1106" t="str">
        <f t="shared" ca="1" si="168"/>
        <v>Jillian</v>
      </c>
      <c r="B1106" t="str">
        <f t="shared" ca="1" si="169"/>
        <v/>
      </c>
      <c r="C1106" t="str">
        <f t="shared" ca="1" si="170"/>
        <v/>
      </c>
      <c r="D1106">
        <f t="shared" ca="1" si="171"/>
        <v>0.43823560456682487</v>
      </c>
      <c r="F1106" s="1"/>
      <c r="G1106" s="29" t="str">
        <f ca="1">E1114</f>
        <v>Raven</v>
      </c>
      <c r="H1106" s="29" t="str">
        <f ca="1">E1115</f>
        <v>Megan</v>
      </c>
      <c r="I1106" s="29" t="str">
        <f ca="1">E1116</f>
        <v>Mark</v>
      </c>
    </row>
    <row r="1107" spans="1:9" x14ac:dyDescent="0.25">
      <c r="A1107" t="str">
        <f t="shared" ca="1" si="168"/>
        <v>Mark</v>
      </c>
      <c r="B1107" t="str">
        <f t="shared" ca="1" si="169"/>
        <v/>
      </c>
      <c r="C1107" t="str">
        <f t="shared" ca="1" si="170"/>
        <v/>
      </c>
      <c r="D1107">
        <f t="shared" ca="1" si="171"/>
        <v>0.4721790730941724</v>
      </c>
      <c r="G1107" s="29" t="str">
        <f ca="1">E1117</f>
        <v>Jillian</v>
      </c>
      <c r="H1107" s="29" t="str">
        <f ca="1">E1118</f>
        <v>Cameron</v>
      </c>
      <c r="I1107" s="29" t="str">
        <f ca="1">E1119</f>
        <v>Jessica</v>
      </c>
    </row>
    <row r="1108" spans="1:9" x14ac:dyDescent="0.25">
      <c r="A1108" t="str">
        <f t="shared" ca="1" si="168"/>
        <v>Matt</v>
      </c>
      <c r="B1108">
        <f t="shared" ca="1" si="169"/>
        <v>0.35778871297994719</v>
      </c>
      <c r="C1108">
        <f t="shared" ca="1" si="170"/>
        <v>0.23409586630338253</v>
      </c>
      <c r="D1108">
        <f t="shared" ca="1" si="171"/>
        <v>0.99296875543866003</v>
      </c>
      <c r="G1108" t="s">
        <v>107</v>
      </c>
      <c r="H1108" t="str">
        <f ca="1">INDEX(A1100:A1110,MATCH(LARGE(C1100:C1110,3),C1100:C1110,0))</f>
        <v>Jason</v>
      </c>
    </row>
    <row r="1109" spans="1:9" x14ac:dyDescent="0.25">
      <c r="A1109" t="str">
        <f t="shared" ca="1" si="168"/>
        <v>Megan</v>
      </c>
      <c r="B1109" t="str">
        <f t="shared" ca="1" si="169"/>
        <v/>
      </c>
      <c r="C1109" t="str">
        <f t="shared" ca="1" si="170"/>
        <v/>
      </c>
      <c r="D1109">
        <f t="shared" ca="1" si="171"/>
        <v>0.66743781400814151</v>
      </c>
    </row>
    <row r="1110" spans="1:9" x14ac:dyDescent="0.25">
      <c r="A1110" t="str">
        <f t="shared" ca="1" si="168"/>
        <v>Raven</v>
      </c>
      <c r="B1110" t="str">
        <f ca="1">IF(A1110="","",IF(COUNTIF($F$1096:$F$1098,A1110)=1,"",IF(A1110=$H$1050,"",RAND())))</f>
        <v/>
      </c>
      <c r="C1110" t="str">
        <f ca="1">IF(A1110="","",IF(COUNTIF($G$1106:$I$1107,A1110)=1,"",RAND()))</f>
        <v/>
      </c>
      <c r="D1110" t="str">
        <f t="shared" ca="1" si="171"/>
        <v/>
      </c>
      <c r="G1110" t="str">
        <f ca="1">E1126&amp;" wins an Extreme-Itard outfit to wear for the rest of the week"</f>
        <v>Jillian wins an Extreme-Itard outfit to wear for the rest of the week</v>
      </c>
    </row>
    <row r="1111" spans="1:9" x14ac:dyDescent="0.25">
      <c r="G1111" t="str">
        <f ca="1">E1127&amp;" wins Camp guide"</f>
        <v>Mark wins Camp guide</v>
      </c>
    </row>
    <row r="1112" spans="1:9" x14ac:dyDescent="0.25">
      <c r="G1112" t="str">
        <f ca="1">E1128&amp;" wins a skydiving outfit to share with another HouseGuest"</f>
        <v>Jessica wins a skydiving outfit to share with another HouseGuest</v>
      </c>
    </row>
    <row r="1113" spans="1:9" x14ac:dyDescent="0.25">
      <c r="G1113" t="str">
        <f ca="1">E1128&amp;" selects "&amp;D1115</f>
        <v>Jessica selects Matt</v>
      </c>
    </row>
    <row r="1114" spans="1:9" x14ac:dyDescent="0.25">
      <c r="E1114" t="str">
        <f ca="1">H1050</f>
        <v>Raven</v>
      </c>
      <c r="F1114">
        <f t="shared" ref="F1114:F1119" ca="1" si="172">RAND()</f>
        <v>0.65461536342582682</v>
      </c>
      <c r="G1114" t="str">
        <f ca="1">E1129&amp;" wins a trip to Colorado"</f>
        <v>Raven wins a trip to Colorado</v>
      </c>
    </row>
    <row r="1115" spans="1:9" x14ac:dyDescent="0.25">
      <c r="A1115" t="str">
        <f ca="1">H1098</f>
        <v>Cameron</v>
      </c>
      <c r="B1115">
        <f ca="1">IF($I$26="On",INDEX(E1041:E1054,MATCH(A1115,D1041:D1054,0)),RAND())</f>
        <v>47.409368445659858</v>
      </c>
      <c r="D1115" t="str">
        <f ca="1">INDEX(A1100:A1110,MATCH(LARGE(D1100:D1110,1),D1100:D1110,0))</f>
        <v>Matt</v>
      </c>
      <c r="E1115" t="str">
        <f ca="1">F1096</f>
        <v>Megan</v>
      </c>
      <c r="F1115">
        <f t="shared" ca="1" si="172"/>
        <v>0.91976091676476068</v>
      </c>
      <c r="G1115" t="str">
        <f ca="1">E1130&amp;" wins $5,000"</f>
        <v>Cameron wins $5,000</v>
      </c>
    </row>
    <row r="1116" spans="1:9" x14ac:dyDescent="0.25">
      <c r="A1116" t="str">
        <f ca="1">H1099</f>
        <v>Jessica</v>
      </c>
      <c r="B1116">
        <f ca="1">IF($I$26="On",INDEX(E1041:E1054,MATCH(A1116,D1041:D1054,0)),RAND())</f>
        <v>82.335943293871836</v>
      </c>
      <c r="E1116" t="str">
        <f ca="1">F1097</f>
        <v>Mark</v>
      </c>
      <c r="F1116">
        <f t="shared" ca="1" si="172"/>
        <v>0.25946669986568227</v>
      </c>
      <c r="G1116" t="str">
        <f ca="1">E1131&amp;" wins the Golden Power of Veto!"</f>
        <v>Megan wins the Golden Power of Veto!</v>
      </c>
    </row>
    <row r="1117" spans="1:9" x14ac:dyDescent="0.25">
      <c r="B1117" t="str">
        <f ca="1">IF(F1105="Yes",F1103,"")</f>
        <v/>
      </c>
      <c r="E1117" t="str">
        <f ca="1">F1098</f>
        <v>Jillian</v>
      </c>
      <c r="F1117">
        <f t="shared" ca="1" si="172"/>
        <v>3.7721800175736564E-2</v>
      </c>
      <c r="G1117" t="str">
        <f ca="1">"Congratulations, "&amp;E1131</f>
        <v>Congratulations, Megan</v>
      </c>
    </row>
    <row r="1118" spans="1:9" x14ac:dyDescent="0.25">
      <c r="A1118" t="str">
        <f t="shared" ref="A1118:A1128" ca="1" si="173">A1100</f>
        <v>Alex</v>
      </c>
      <c r="B1118">
        <f ca="1">INDEX(Sheet4!$B$2:$R$18,MATCH(Game!$E$1131,Sheet4!$A$2:$A$18,0),MATCH(Game!A1118,Sheet4!$B$1:$R$1,0))</f>
        <v>54.092933100007563</v>
      </c>
      <c r="C1118" t="str">
        <f ca="1">INDEX(A1118:A1128,MATCH(LARGE(B1118:B1128,2),B1118:B1128,0))</f>
        <v>Jason</v>
      </c>
      <c r="D1118">
        <f ca="1">COUNTIF($C$1118:$C$1122,"&lt;="&amp;C1118)</f>
        <v>3</v>
      </c>
      <c r="E1118" t="str">
        <f ca="1">IF(B1117="",A1115,IF(A1115=G1103,B1117,A1115))</f>
        <v>Cameron</v>
      </c>
      <c r="F1118">
        <f t="shared" ca="1" si="172"/>
        <v>0.91573344470045603</v>
      </c>
      <c r="G1118" t="str">
        <f ca="1">E1131&amp;" can also select 5 HouseGuests to join them on a trip to an Outback Steakhouse!"</f>
        <v>Megan can also select 5 HouseGuests to join them on a trip to an Outback Steakhouse!</v>
      </c>
    </row>
    <row r="1119" spans="1:9" x14ac:dyDescent="0.25">
      <c r="A1119" t="str">
        <f t="shared" ca="1" si="173"/>
        <v>Cameron</v>
      </c>
      <c r="B1119">
        <f ca="1">INDEX(Sheet4!$B$2:$R$18,MATCH(Game!$E$1131,Sheet4!$A$2:$A$18,0),MATCH(Game!A1119,Sheet4!$B$1:$R$1,0))</f>
        <v>61.288270954429585</v>
      </c>
      <c r="C1119" t="str">
        <f ca="1">INDEX(A1118:A1128,MATCH(LARGE(B1118:B1128,3),B1118:B1128,0))</f>
        <v>Matt</v>
      </c>
      <c r="D1119">
        <f ca="1">COUNTIF($C$1118:$C$1122,"&lt;="&amp;C1119)</f>
        <v>5</v>
      </c>
      <c r="E1119" t="str">
        <f ca="1">IF(B1117="",A1116,IF(A1116=G1103,B1117,A1116))</f>
        <v>Jessica</v>
      </c>
      <c r="F1119">
        <f t="shared" ca="1" si="172"/>
        <v>0.62540230889014492</v>
      </c>
      <c r="G1119" t="str">
        <f ca="1">E1131&amp;" selects "&amp;E1120&amp;", "&amp;E1121&amp;", "&amp;E1122&amp;", "&amp;E1123&amp;" and "&amp;E1124</f>
        <v>Megan selects Alex, Cameron, Jason, Jillian and Matt</v>
      </c>
    </row>
    <row r="1120" spans="1:9" x14ac:dyDescent="0.25">
      <c r="A1120" t="str">
        <f t="shared" ca="1" si="173"/>
        <v>Christmas</v>
      </c>
      <c r="B1120">
        <f ca="1">INDEX(Sheet4!$B$2:$R$18,MATCH(Game!$E$1131,Sheet4!$A$2:$A$18,0),MATCH(Game!A1120,Sheet4!$B$1:$R$1,0))</f>
        <v>7.1318867821929848</v>
      </c>
      <c r="C1120" t="str">
        <f ca="1">INDEX(A1118:A1128,MATCH(LARGE(B1118:B1128,4),B1118:B1128,0))</f>
        <v>Jillian</v>
      </c>
      <c r="D1120">
        <f ca="1">COUNTIF($C$1118:$C$1122,"&lt;="&amp;C1120)</f>
        <v>4</v>
      </c>
      <c r="E1120" t="str">
        <f ca="1">INDEX(C1118:C1122,MATCH(1,D1118:D1122,0))</f>
        <v>Alex</v>
      </c>
    </row>
    <row r="1121" spans="1:9" x14ac:dyDescent="0.25">
      <c r="A1121" t="str">
        <f t="shared" ca="1" si="173"/>
        <v>Cody</v>
      </c>
      <c r="B1121">
        <f ca="1">INDEX(Sheet4!$B$2:$R$18,MATCH(Game!$E$1131,Sheet4!$A$2:$A$18,0),MATCH(Game!A1121,Sheet4!$B$1:$R$1,0))</f>
        <v>18.048940847008435</v>
      </c>
      <c r="C1121" t="str">
        <f ca="1">INDEX(A1118:A1128,MATCH(LARGE(B1118:B1128,5),B1118:B1128,0))</f>
        <v>Cameron</v>
      </c>
      <c r="D1121">
        <f ca="1">COUNTIF($C$1118:$C$1122,"&lt;="&amp;C1121)</f>
        <v>2</v>
      </c>
      <c r="E1121" t="str">
        <f ca="1">INDEX(C1118:C1122,MATCH(2,D1118:D1122,0))</f>
        <v>Cameron</v>
      </c>
      <c r="G1121" s="2" t="s">
        <v>111</v>
      </c>
    </row>
    <row r="1122" spans="1:9" x14ac:dyDescent="0.25">
      <c r="A1122" t="str">
        <f t="shared" ca="1" si="173"/>
        <v>Jason</v>
      </c>
      <c r="B1122">
        <f ca="1">INDEX(Sheet4!$B$2:$R$18,MATCH(Game!$E$1131,Sheet4!$A$2:$A$18,0),MATCH(Game!A1122,Sheet4!$B$1:$R$1,0))</f>
        <v>79.425080473582895</v>
      </c>
      <c r="C1122" t="str">
        <f ca="1">INDEX(A1118:A1128,MATCH(LARGE(B1118:B1128,6),B1118:B1128,0))</f>
        <v>Alex</v>
      </c>
      <c r="D1122">
        <f ca="1">COUNTIF($C$1118:$C$1122,"&lt;="&amp;C1122)</f>
        <v>1</v>
      </c>
      <c r="E1122" t="str">
        <f ca="1">INDEX(C1118:C1122,MATCH(3,D1118:D1122,0))</f>
        <v>Jason</v>
      </c>
      <c r="G1122" t="str">
        <f ca="1">E1131&amp;" has decided to use the POV to save"</f>
        <v>Megan has decided to use the POV to save</v>
      </c>
    </row>
    <row r="1123" spans="1:9" x14ac:dyDescent="0.25">
      <c r="A1123" t="str">
        <f t="shared" ca="1" si="173"/>
        <v>Jessica</v>
      </c>
      <c r="B1123">
        <f ca="1">INDEX(Sheet4!$B$2:$R$18,MATCH(Game!$E$1131,Sheet4!$A$2:$A$18,0),MATCH(Game!A1123,Sheet4!$B$1:$R$1,0))</f>
        <v>28.04830338810412</v>
      </c>
      <c r="E1123" t="str">
        <f ca="1">INDEX(C1118:C1122,MATCH(4,D1118:D1122,0))</f>
        <v>Jillian</v>
      </c>
      <c r="F1123">
        <f ca="1">RANDBETWEEN(1,6)</f>
        <v>5</v>
      </c>
      <c r="G1123" t="str">
        <f ca="1">IF($I$26="On",Sheet4!A344,IF(COUNTIF(F1096:F1098,E1131)=1,E1131,IF(F1123=1,F1096,IF(F1123=2,F1097,IF(F1098="","Neither Nominee",IF(F1123=3,F1098,"Nobody"))))))</f>
        <v>Megan</v>
      </c>
    </row>
    <row r="1124" spans="1:9" x14ac:dyDescent="0.25">
      <c r="A1124" t="str">
        <f t="shared" ca="1" si="173"/>
        <v>Jillian</v>
      </c>
      <c r="B1124">
        <f ca="1">INDEX(Sheet4!$B$2:$R$18,MATCH(Game!$E$1131,Sheet4!$A$2:$A$18,0),MATCH(Game!A1124,Sheet4!$B$1:$R$1,0))</f>
        <v>67.02518921112113</v>
      </c>
      <c r="E1124" t="str">
        <f ca="1">INDEX(C1118:C1122,MATCH(5,D1118:D1122,0))</f>
        <v>Matt</v>
      </c>
      <c r="G1124" t="str">
        <f ca="1">IF(G1123=F1098,"This POV Ceremony is adjourned",IF(G1123="Nobody","This POV Ceremony is adjourned",IF(G1123="Neither Nominee","This POV Ceremony is adjourned",H1050&amp;" has decided to put up")))</f>
        <v>Raven has decided to put up</v>
      </c>
    </row>
    <row r="1125" spans="1:9" x14ac:dyDescent="0.25">
      <c r="A1125" t="str">
        <f t="shared" ca="1" si="173"/>
        <v>Mark</v>
      </c>
      <c r="B1125">
        <f ca="1">INDEX(Sheet4!$B$2:$R$18,MATCH(Game!$E$1131,Sheet4!$A$2:$A$18,0),MATCH(Game!A1125,Sheet4!$B$1:$R$1,0))</f>
        <v>7.442508972552484</v>
      </c>
      <c r="G1125" t="str">
        <f ca="1">IF(COUNTIF(G1124,"*adjourned")=1,"",D1127)</f>
        <v>Jason</v>
      </c>
    </row>
    <row r="1126" spans="1:9" x14ac:dyDescent="0.25">
      <c r="A1126" t="str">
        <f t="shared" ca="1" si="173"/>
        <v>Matt</v>
      </c>
      <c r="B1126">
        <f ca="1">INDEX(Sheet4!$B$2:$R$18,MATCH(Game!$E$1131,Sheet4!$A$2:$A$18,0),MATCH(Game!A1126,Sheet4!$B$1:$R$1,0))</f>
        <v>72.313428826708588</v>
      </c>
      <c r="E1126" t="str">
        <f ca="1">INDEX(E1114:E1119,MATCH(SMALL(F1114:F1119,1),F1114:F1119,0))</f>
        <v>Jillian</v>
      </c>
      <c r="G1126" t="s">
        <v>152</v>
      </c>
    </row>
    <row r="1127" spans="1:9" x14ac:dyDescent="0.25">
      <c r="A1127" t="str">
        <f t="shared" ca="1" si="173"/>
        <v>Megan</v>
      </c>
      <c r="B1127">
        <f ca="1">INDEX(Sheet4!$B$2:$R$18,MATCH(Game!$E$1131,Sheet4!$A$2:$A$18,0),MATCH(Game!A1127,Sheet4!$B$1:$R$1,0))</f>
        <v>101</v>
      </c>
      <c r="C1127" t="str">
        <f ca="1">F1099</f>
        <v>Jason</v>
      </c>
      <c r="D1127" t="str">
        <f ca="1">IF(C1127=E1131,C1128,C1127)</f>
        <v>Jason</v>
      </c>
      <c r="E1127" t="str">
        <f ca="1">INDEX(E1114:E1119,MATCH(SMALL(F1114:F1119,2),F1114:F1119,0))</f>
        <v>Mark</v>
      </c>
      <c r="G1127" t="str">
        <f ca="1">IF(F1096=G1123,G1125,F1096)</f>
        <v>Jason</v>
      </c>
    </row>
    <row r="1128" spans="1:9" x14ac:dyDescent="0.25">
      <c r="A1128" t="str">
        <f t="shared" ca="1" si="173"/>
        <v>Raven</v>
      </c>
      <c r="B1128">
        <f ca="1">IF(A1128="","",INDEX(Sheet4!$B$2:$R$18,MATCH(Game!$E$1131,Sheet4!$A$2:$A$18,0),MATCH(Game!A1128,Sheet4!$B$1:$R$1,0)))</f>
        <v>10.140565248618941</v>
      </c>
      <c r="C1128" t="str">
        <f ca="1">F1100</f>
        <v>Alex</v>
      </c>
      <c r="E1128" t="str">
        <f ca="1">INDEX(E1114:E1119,MATCH(SMALL(F1114:F1119,3),F1114:F1119,0))</f>
        <v>Jessica</v>
      </c>
      <c r="G1128" t="str">
        <f ca="1">IF(F1097=G1123,G1125,F1097)</f>
        <v>Mark</v>
      </c>
    </row>
    <row r="1129" spans="1:9" x14ac:dyDescent="0.25">
      <c r="E1129" t="str">
        <f ca="1">INDEX(E1114:E1119,MATCH(SMALL(F1114:F1119,4),F1114:F1119,0))</f>
        <v>Raven</v>
      </c>
      <c r="G1129" t="str">
        <f ca="1">IF(F1098=G1123,G1125,F1098)</f>
        <v>Jillian</v>
      </c>
    </row>
    <row r="1130" spans="1:9" x14ac:dyDescent="0.25">
      <c r="E1130" t="str">
        <f ca="1">INDEX(E1114:E1119,MATCH(SMALL(F1114:F1119,5),F1114:F1119,0))</f>
        <v>Cameron</v>
      </c>
    </row>
    <row r="1131" spans="1:9" x14ac:dyDescent="0.25">
      <c r="E1131" t="str">
        <f ca="1">INDEX(E1114:E1119,MATCH(SMALL(F1114:F1119,6),F1114:F1119,0))</f>
        <v>Megan</v>
      </c>
      <c r="G1131" s="2" t="s">
        <v>114</v>
      </c>
    </row>
    <row r="1132" spans="1:9" x14ac:dyDescent="0.25">
      <c r="F1132" s="3" t="str">
        <f ca="1">H1050</f>
        <v>Raven</v>
      </c>
      <c r="G1132" s="29" t="str">
        <f ca="1">G1127</f>
        <v>Jason</v>
      </c>
      <c r="H1132" s="29" t="str">
        <f ca="1">G1128</f>
        <v>Mark</v>
      </c>
      <c r="I1132" s="29" t="str">
        <f ca="1">G1129</f>
        <v>Jillian</v>
      </c>
    </row>
    <row r="1134" spans="1:9" x14ac:dyDescent="0.25">
      <c r="E1134" t="str">
        <f ca="1">INDEX(A1135:A1147,MATCH(SMALL(B1135:B1147,1),B1135:B1147,0))</f>
        <v>Matt</v>
      </c>
      <c r="F1134">
        <f t="shared" ref="F1134:F1141" ca="1" si="174">IF($I$1132="",RANDBETWEEN(1,2),RANDBETWEEN(1,3))</f>
        <v>1</v>
      </c>
      <c r="G1134" t="str">
        <f t="shared" ref="G1134:G1139" ca="1" si="175">E1134&amp;"-"</f>
        <v>Matt-</v>
      </c>
      <c r="H1134" t="str">
        <f ca="1">IF($I$26="On",INDEX(Sheet4!$B$350:$R$350,MATCH(Game!E1134,Sheet4!$B$346:$R$346,0)),IF(F1134=1,$G$1132,IF(F1134=2,$H$1132,$I$1132)))</f>
        <v>Jillian</v>
      </c>
    </row>
    <row r="1135" spans="1:9" x14ac:dyDescent="0.25">
      <c r="A1135" t="str">
        <f t="shared" ref="A1135:A1145" ca="1" si="176">A1031</f>
        <v>Alex</v>
      </c>
      <c r="B1135">
        <f t="shared" ref="B1135:B1144" ca="1" si="177">IF(COUNTIF($F$1132:$I$1132,A1135)=1,"",RAND())</f>
        <v>0.62212212303552816</v>
      </c>
      <c r="E1135" t="str">
        <f ca="1">INDEX(A1135:A1147,MATCH(SMALL(B1135:B1147,2),B1135:B1147,0))</f>
        <v>Christmas</v>
      </c>
      <c r="F1135">
        <f t="shared" ca="1" si="174"/>
        <v>3</v>
      </c>
      <c r="G1135" t="str">
        <f t="shared" ca="1" si="175"/>
        <v>Christmas-</v>
      </c>
      <c r="H1135" t="str">
        <f ca="1">IF($I$26="On",INDEX(Sheet4!$B$350:$R$350,MATCH(Game!E1135,Sheet4!$B$346:$R$346,0)),IF(F1135=1,$G$1132,IF(F1135=2,$H$1132,$I$1132)))</f>
        <v>Jason</v>
      </c>
    </row>
    <row r="1136" spans="1:9" x14ac:dyDescent="0.25">
      <c r="A1136" t="str">
        <f t="shared" ca="1" si="176"/>
        <v>Cameron</v>
      </c>
      <c r="B1136">
        <f t="shared" ca="1" si="177"/>
        <v>0.73534863436937714</v>
      </c>
      <c r="E1136" t="str">
        <f ca="1">INDEX(A1135:A1147,MATCH(SMALL(B1135:B1147,3),B1135:B1147,0))</f>
        <v>Jessica</v>
      </c>
      <c r="F1136">
        <f t="shared" ca="1" si="174"/>
        <v>1</v>
      </c>
      <c r="G1136" t="str">
        <f t="shared" ca="1" si="175"/>
        <v>Jessica-</v>
      </c>
      <c r="H1136" t="str">
        <f ca="1">IF($I$26="On",INDEX(Sheet4!$B$350:$R$350,MATCH(Game!E1136,Sheet4!$B$346:$R$346,0)),IF(F1136=1,$G$1132,IF(F1136=2,$H$1132,$I$1132)))</f>
        <v>Jillian</v>
      </c>
    </row>
    <row r="1137" spans="1:8" x14ac:dyDescent="0.25">
      <c r="A1137" t="str">
        <f t="shared" ca="1" si="176"/>
        <v>Christmas</v>
      </c>
      <c r="B1137">
        <f t="shared" ca="1" si="177"/>
        <v>0.39139316891822906</v>
      </c>
      <c r="E1137" t="str">
        <f ca="1">INDEX(A1135:A1147,MATCH(SMALL(B1135:B1147,4),B1135:B1147,0))</f>
        <v>Alex</v>
      </c>
      <c r="F1137">
        <f t="shared" ca="1" si="174"/>
        <v>3</v>
      </c>
      <c r="G1137" t="str">
        <f t="shared" ca="1" si="175"/>
        <v>Alex-</v>
      </c>
      <c r="H1137" t="str">
        <f ca="1">IF($I$26="On",INDEX(Sheet4!$B$350:$R$350,MATCH(Game!E1137,Sheet4!$B$346:$R$346,0)),IF(F1137=1,$G$1132,IF(F1137=2,$H$1132,$I$1132)))</f>
        <v>Jillian</v>
      </c>
    </row>
    <row r="1138" spans="1:8" x14ac:dyDescent="0.25">
      <c r="A1138" t="str">
        <f t="shared" ca="1" si="176"/>
        <v>Cody</v>
      </c>
      <c r="B1138">
        <f t="shared" ca="1" si="177"/>
        <v>0.6581765344009769</v>
      </c>
      <c r="E1138" t="str">
        <f ca="1">INDEX(A1135:A1147,MATCH(SMALL(B1135:B1147,5),B1135:B1147,0))</f>
        <v>Cody</v>
      </c>
      <c r="F1138">
        <f t="shared" ca="1" si="174"/>
        <v>2</v>
      </c>
      <c r="G1138" t="str">
        <f t="shared" ca="1" si="175"/>
        <v>Cody-</v>
      </c>
      <c r="H1138" t="str">
        <f ca="1">IF($I$26="On",INDEX(Sheet4!$B$350:$R$350,MATCH(Game!E1138,Sheet4!$B$346:$R$346,0)),IF(F1138=1,$G$1132,IF(F1138=2,$H$1132,$I$1132)))</f>
        <v>Mark</v>
      </c>
    </row>
    <row r="1139" spans="1:8" x14ac:dyDescent="0.25">
      <c r="A1139" t="str">
        <f t="shared" ca="1" si="176"/>
        <v>Jason</v>
      </c>
      <c r="B1139" t="str">
        <f t="shared" ca="1" si="177"/>
        <v/>
      </c>
      <c r="E1139" t="str">
        <f ca="1">INDEX(A1135:A1147,MATCH(SMALL(B1135:B1147,6),B1135:B1147,0))</f>
        <v>Cameron</v>
      </c>
      <c r="F1139">
        <f t="shared" ca="1" si="174"/>
        <v>2</v>
      </c>
      <c r="G1139" t="str">
        <f t="shared" ca="1" si="175"/>
        <v>Cameron-</v>
      </c>
      <c r="H1139" t="str">
        <f ca="1">IF($I$26="On",INDEX(Sheet4!$B$350:$R$350,MATCH(Game!E1139,Sheet4!$B$346:$R$346,0)),IF(F1139=1,$G$1132,IF(F1139=2,$H$1132,$I$1132)))</f>
        <v>Jason</v>
      </c>
    </row>
    <row r="1140" spans="1:8" x14ac:dyDescent="0.25">
      <c r="A1140" t="str">
        <f t="shared" ca="1" si="176"/>
        <v>Jessica</v>
      </c>
      <c r="B1140">
        <f t="shared" ca="1" si="177"/>
        <v>0.54466828105361609</v>
      </c>
      <c r="E1140" t="str">
        <f ca="1">IF(A1147&lt;=6,"",INDEX(A1135:A1147,MATCH(SMALL(B1135:B1147,7),B1135:B1147,0)))</f>
        <v>Megan</v>
      </c>
      <c r="F1140">
        <f t="shared" ca="1" si="174"/>
        <v>1</v>
      </c>
      <c r="G1140" t="str">
        <f ca="1">IF(E1140="","",E1140&amp;"-")</f>
        <v>Megan-</v>
      </c>
      <c r="H1140" t="str">
        <f ca="1">IF($I$26="On",INDEX(Sheet4!$B$350:$R$350,MATCH(Game!E1140,Sheet4!$B$346:$R$346,0)),IF(F1140=1,$G$1132,IF(F1140=2,$H$1132,$I$1132)))</f>
        <v>Mark</v>
      </c>
    </row>
    <row r="1141" spans="1:8" x14ac:dyDescent="0.25">
      <c r="A1141" t="str">
        <f t="shared" ca="1" si="176"/>
        <v>Jillian</v>
      </c>
      <c r="B1141" t="str">
        <f t="shared" ca="1" si="177"/>
        <v/>
      </c>
      <c r="E1141" t="str">
        <f ca="1">IF(A1147&lt;=7,"",INDEX(A1135:A1147,MATCH(SMALL(B1135:B1147,8),B1135:B1147,0)))</f>
        <v/>
      </c>
      <c r="F1141">
        <f t="shared" ca="1" si="174"/>
        <v>1</v>
      </c>
      <c r="G1141" t="str">
        <f ca="1">IF(E1141="","",E1141&amp;"-")</f>
        <v/>
      </c>
      <c r="H1141" t="str">
        <f ca="1">IF($I$26="On",INDEX(Sheet4!$B$350:$R$350,MATCH(Game!E1141,Sheet4!$B$346:$R$346,0)),IF(F1141=1,$G$1132,IF(F1141=2,$H$1132,$I$1132)))</f>
        <v/>
      </c>
    </row>
    <row r="1142" spans="1:8" x14ac:dyDescent="0.25">
      <c r="A1142" t="str">
        <f t="shared" ca="1" si="176"/>
        <v>Mark</v>
      </c>
      <c r="B1142" t="str">
        <f t="shared" ca="1" si="177"/>
        <v/>
      </c>
    </row>
    <row r="1143" spans="1:8" x14ac:dyDescent="0.25">
      <c r="A1143" t="str">
        <f t="shared" ca="1" si="176"/>
        <v>Matt</v>
      </c>
      <c r="B1143">
        <f t="shared" ca="1" si="177"/>
        <v>0.30631994083081482</v>
      </c>
      <c r="G1143" t="str">
        <f ca="1">IF(E1148&gt;=2,"We have a tie!","")</f>
        <v/>
      </c>
    </row>
    <row r="1144" spans="1:8" x14ac:dyDescent="0.25">
      <c r="A1144" t="str">
        <f t="shared" ca="1" si="176"/>
        <v>Megan</v>
      </c>
      <c r="B1144">
        <f t="shared" ca="1" si="177"/>
        <v>0.97469987826833315</v>
      </c>
      <c r="G1144" t="str">
        <f ca="1">IF(G1143="","",F1132&amp;", the HOH, will break the tie")</f>
        <v/>
      </c>
    </row>
    <row r="1145" spans="1:8" x14ac:dyDescent="0.25">
      <c r="A1145" t="str">
        <f t="shared" ca="1" si="176"/>
        <v>Raven</v>
      </c>
      <c r="B1145" t="str">
        <f ca="1">IF(A1145="","",IF(COUNTIF($F$1132:$I$1132,A1145)=1,"",RAND()))</f>
        <v/>
      </c>
      <c r="E1145" t="str">
        <f ca="1">G1132</f>
        <v>Jason</v>
      </c>
      <c r="F1145">
        <f ca="1">IF($I$26="On",COUNTIF(H1134:H1142,E1145)+INDEX(B1058:B1068,MATCH(E1145,A1058:A1068,0))/220,COUNTIF(H1134:H1142,E1145)+RAND()/2.2)</f>
        <v>2.1202259058867945</v>
      </c>
      <c r="G1145" t="str">
        <f ca="1">IF(G1144="","",F1132&amp;"-")</f>
        <v/>
      </c>
      <c r="H1145" t="str">
        <f ca="1">IF(G1145="","",E1149)</f>
        <v/>
      </c>
    </row>
    <row r="1146" spans="1:8" x14ac:dyDescent="0.25">
      <c r="E1146" t="str">
        <f ca="1">H1132</f>
        <v>Mark</v>
      </c>
      <c r="F1146">
        <f ca="1">IF($I$26="On",COUNTIF(H1134:H1142,E1146)+INDEX(B1058:B1068,MATCH(E1146,A1058:A1068,0))/220,COUNTIF(H1134:H1142,E1146)+RAND()/2.2)</f>
        <v>2.0654730711910929</v>
      </c>
    </row>
    <row r="1147" spans="1:8" x14ac:dyDescent="0.25">
      <c r="A1147">
        <f ca="1">COUNTIF(B1135:B1146,"&lt;=1.1")</f>
        <v>7</v>
      </c>
      <c r="E1147" t="str">
        <f ca="1">I1132</f>
        <v>Jillian</v>
      </c>
      <c r="F1147">
        <f ca="1">IF(E1147="","",IF($I$26="On",COUNTIF(H1134:H1142,E1147)+INDEX(B1058:B1068,MATCH(E1147,A1058:A1068,0))/220,COUNTIF(H1134:H1142,E1147)+RAND()/2.2))</f>
        <v>3.1136954456840953</v>
      </c>
      <c r="G1147" t="str">
        <f ca="1">IF(F1156="","","With "&amp;ROUND(SMALL(F1154:F1156,1),0)&amp;IF(ROUND(SMALL(F1154:F1156,1),0)=1," vote"," votes"))</f>
        <v>With 2 votes</v>
      </c>
    </row>
    <row r="1148" spans="1:8" x14ac:dyDescent="0.25">
      <c r="E1148">
        <f ca="1">COUNTIF(F1148:F1150,F1148)</f>
        <v>1</v>
      </c>
      <c r="F1148">
        <f ca="1">ROUND(LARGE(F1145:F1147,1),0)</f>
        <v>3</v>
      </c>
      <c r="G1148" t="str">
        <f ca="1">IF(G1147="","",INDEX(E1151:E1153,MATCH(SMALL(F1151:F1153,1),F1151:F1153,0)))</f>
        <v>Jason</v>
      </c>
    </row>
    <row r="1149" spans="1:8" x14ac:dyDescent="0.25">
      <c r="E1149" t="str">
        <f ca="1">IF(E1148=3,INDEX(E1145:E1147,MATCH(SMALL(F1145:F1147,1),F1145:F1147,0)),INDEX(E1145:E1147,MATCH(LARGE(F1145:F1147,2),F1145:F1147,0)))</f>
        <v>Jason</v>
      </c>
      <c r="F1149">
        <f ca="1">ROUND(LARGE(F1145:F1147,2),0)</f>
        <v>2</v>
      </c>
      <c r="G1149" t="str">
        <f ca="1">IF(G1148="","","You are safe")</f>
        <v>You are safe</v>
      </c>
    </row>
    <row r="1150" spans="1:8" x14ac:dyDescent="0.25">
      <c r="F1150">
        <f ca="1">IF(F1147="","",ROUND(LARGE(F1145:F1147,3),0))</f>
        <v>2</v>
      </c>
    </row>
    <row r="1151" spans="1:8" x14ac:dyDescent="0.25">
      <c r="E1151" t="str">
        <f ca="1">E1145</f>
        <v>Jason</v>
      </c>
      <c r="F1151">
        <f ca="1">COUNTIF(H1134:H1146,E1151)+RAND()/2.2</f>
        <v>2.2337821982731256</v>
      </c>
      <c r="G1151" t="str">
        <f ca="1">IF(G1134="","","By a vote of "&amp;ROUND(LARGE(F1151:F1153,1),0)&amp;"-"&amp;ROUND(LARGE(F1151:F1153,2),0))</f>
        <v>By a vote of 3-2</v>
      </c>
    </row>
    <row r="1152" spans="1:8" x14ac:dyDescent="0.25">
      <c r="E1152" t="str">
        <f ca="1">E1146</f>
        <v>Mark</v>
      </c>
      <c r="F1152">
        <f ca="1">COUNTIF(H1134:H1146,E1152)+RAND()/2.2</f>
        <v>2.4092199774166785</v>
      </c>
      <c r="G1152" t="str">
        <f ca="1">IF(G1134="","",INDEX(E1151:E1153,MATCH(LARGE(F1151:F1153,1),F1151:F1153,0)))</f>
        <v>Jillian</v>
      </c>
    </row>
    <row r="1153" spans="1:12" x14ac:dyDescent="0.25">
      <c r="E1153" t="str">
        <f ca="1">E1147</f>
        <v>Jillian</v>
      </c>
      <c r="F1153">
        <f ca="1">IF(E1153="","",COUNTIF(H1134:H1146,E1153)+RAND()/2.2)</f>
        <v>3.3472461822450024</v>
      </c>
      <c r="G1153" t="str">
        <f ca="1">IF(G1134="","","You have been evicted from the Big Brother House")</f>
        <v>You have been evicted from the Big Brother House</v>
      </c>
    </row>
    <row r="1154" spans="1:12" x14ac:dyDescent="0.25">
      <c r="F1154">
        <f ca="1">ROUND(LARGE(F1151:F1153,1),0)</f>
        <v>3</v>
      </c>
    </row>
    <row r="1155" spans="1:12" x14ac:dyDescent="0.25">
      <c r="F1155">
        <f ca="1">ROUND(LARGE(F1151:F1153,2),0)</f>
        <v>2</v>
      </c>
      <c r="G1155" t="str">
        <f ca="1">IF(F1156="","",F1154&amp;"-"&amp;F1155&amp;"-"&amp;F1156)</f>
        <v>3-2-2</v>
      </c>
    </row>
    <row r="1156" spans="1:12" x14ac:dyDescent="0.25">
      <c r="F1156">
        <f ca="1">IF(F1153="","",ROUND(LARGE(F1151:F1153,3),0))</f>
        <v>2</v>
      </c>
    </row>
    <row r="1157" spans="1:12" x14ac:dyDescent="0.25">
      <c r="G1157" s="2" t="s">
        <v>84</v>
      </c>
    </row>
    <row r="1158" spans="1:12" x14ac:dyDescent="0.25">
      <c r="G1158" t="s">
        <v>181</v>
      </c>
    </row>
    <row r="1160" spans="1:12" x14ac:dyDescent="0.25">
      <c r="G1160" s="2" t="s">
        <v>182</v>
      </c>
    </row>
    <row r="1161" spans="1:12" x14ac:dyDescent="0.25">
      <c r="G1161" s="16" t="str">
        <f ca="1">A1164</f>
        <v>Alex</v>
      </c>
      <c r="H1161" s="16" t="str">
        <f ca="1">A1165</f>
        <v>Cameron</v>
      </c>
      <c r="I1161" s="16" t="str">
        <f ca="1">A1166</f>
        <v>Christmas</v>
      </c>
      <c r="J1161" s="16" t="str">
        <f ca="1">A1167</f>
        <v>Cody</v>
      </c>
      <c r="K1161" s="16" t="str">
        <f ca="1">A1168</f>
        <v>Jason</v>
      </c>
      <c r="L1161" s="28"/>
    </row>
    <row r="1162" spans="1:12" x14ac:dyDescent="0.25">
      <c r="G1162" s="24" t="str">
        <f ca="1">IF(COUNTIF($B$1164:$F$1165,G1161)=0,"","HOH - "&amp;COUNTIF($B$1164:$F$1165,G1161))</f>
        <v/>
      </c>
      <c r="H1162" s="24" t="str">
        <f ca="1">IF(COUNTIF($B$1164:$F$1165,H1161)=0,"","HOH - "&amp;COUNTIF($B$1164:$F$1165,H1161))</f>
        <v/>
      </c>
      <c r="I1162" s="24" t="str">
        <f ca="1">IF(COUNTIF($B$1164:$F$1165,I1161)=0,"","HOH - "&amp;COUNTIF($B$1164:$F$1165,I1161))</f>
        <v>HOH - 1</v>
      </c>
      <c r="J1162" s="24" t="str">
        <f ca="1">IF(COUNTIF($B$1164:$F$1165,J1161)=0,"","HOH - "&amp;COUNTIF($B$1164:$F$1165,J1161))</f>
        <v>HOH - 1</v>
      </c>
      <c r="K1162" s="24" t="str">
        <f ca="1">IF(COUNTIF($B$1164:$F$1165,K1161)=0,"","HOH - "&amp;COUNTIF($B$1164:$F$1165,K1161))</f>
        <v/>
      </c>
      <c r="L1162" s="28"/>
    </row>
    <row r="1163" spans="1:12" x14ac:dyDescent="0.25">
      <c r="G1163" s="24" t="str">
        <f ca="1">IF(COUNTIF($B$1166:$F$1167,G1161)=0,"","POV - "&amp;COUNTIF($B$1166:$F$1167,G1161))</f>
        <v/>
      </c>
      <c r="H1163" s="24" t="str">
        <f ca="1">IF(COUNTIF($B$1166:$F$1167,H1161)=0,"","POV - "&amp;COUNTIF($B$1166:$F$1167,H1161))</f>
        <v/>
      </c>
      <c r="I1163" s="24" t="str">
        <f ca="1">IF(COUNTIF($B$1166:$F$1167,I1161)=0,"","POV - "&amp;COUNTIF($B$1166:$F$1167,I1161))</f>
        <v>POV - 2</v>
      </c>
      <c r="J1163" s="24" t="str">
        <f ca="1">IF(COUNTIF($B$1166:$F$1167,J1161)=0,"","POV - "&amp;COUNTIF($B$1166:$F$1167,J1161))</f>
        <v>POV - 1</v>
      </c>
      <c r="K1163" s="24" t="str">
        <f ca="1">IF(COUNTIF($B$1166:$F$1167,K1161)=0,"","POV - "&amp;COUNTIF($B$1166:$F$1167,K1161))</f>
        <v/>
      </c>
      <c r="L1163" s="28"/>
    </row>
    <row r="1164" spans="1:12" x14ac:dyDescent="0.25">
      <c r="A1164" t="str">
        <f ca="1">IF(A1031=G1152,A1032,A1031)</f>
        <v>Alex</v>
      </c>
      <c r="B1164" t="str">
        <f ca="1">B1031</f>
        <v>Raven</v>
      </c>
      <c r="C1164" t="str">
        <f ca="1">C1031</f>
        <v>Josh</v>
      </c>
      <c r="D1164" t="str">
        <f ca="1">D1031</f>
        <v>Ramses</v>
      </c>
      <c r="E1164" t="str">
        <f ca="1">E1031</f>
        <v>Cody</v>
      </c>
      <c r="F1164" t="str">
        <f ca="1">F1031</f>
        <v>Josh</v>
      </c>
      <c r="G1164" s="16" t="str">
        <f ca="1">A1169</f>
        <v>Jessica</v>
      </c>
      <c r="H1164" s="16" t="str">
        <f ca="1">A1170</f>
        <v>Mark</v>
      </c>
      <c r="I1164" s="16" t="str">
        <f ca="1">A1171</f>
        <v>Matt</v>
      </c>
      <c r="J1164" s="16" t="str">
        <f ca="1">A1172</f>
        <v>Megan</v>
      </c>
      <c r="K1164" s="16" t="str">
        <f ca="1">IF(A1173="",G1152,A1173)</f>
        <v>Raven</v>
      </c>
      <c r="L1164" s="19" t="str">
        <f ca="1">IF(A1173="",L1031,G1152)</f>
        <v>Jillian</v>
      </c>
    </row>
    <row r="1165" spans="1:12" x14ac:dyDescent="0.25">
      <c r="A1165" t="str">
        <f t="shared" ref="A1165:A1173" ca="1" si="178">IF(A1164=A1032,A1033,IF(A1032=$G$1152,A1033,A1032))</f>
        <v>Cameron</v>
      </c>
      <c r="B1165" t="str">
        <f ca="1">B1032</f>
        <v>Christmas</v>
      </c>
      <c r="C1165" t="str">
        <f ca="1">H1050</f>
        <v>Raven</v>
      </c>
      <c r="G1165" s="24" t="str">
        <f t="shared" ref="G1165:L1165" ca="1" si="179">IF(COUNTIF($B$1164:$F$1165,G1164)=0,"","HOH - "&amp;COUNTIF($B$1164:$F$1165,G1164))</f>
        <v/>
      </c>
      <c r="H1165" s="24" t="str">
        <f t="shared" ca="1" si="179"/>
        <v/>
      </c>
      <c r="I1165" s="24" t="str">
        <f t="shared" ca="1" si="179"/>
        <v/>
      </c>
      <c r="J1165" s="24" t="str">
        <f t="shared" ca="1" si="179"/>
        <v/>
      </c>
      <c r="K1165" s="24" t="str">
        <f t="shared" ca="1" si="179"/>
        <v>HOH - 2</v>
      </c>
      <c r="L1165" s="31" t="str">
        <f t="shared" ca="1" si="179"/>
        <v/>
      </c>
    </row>
    <row r="1166" spans="1:12" x14ac:dyDescent="0.25">
      <c r="A1166" t="str">
        <f t="shared" ca="1" si="178"/>
        <v>Christmas</v>
      </c>
      <c r="B1166" t="str">
        <f ca="1">B1033</f>
        <v>Christmas</v>
      </c>
      <c r="C1166" t="str">
        <f ca="1">C1033</f>
        <v>Christmas</v>
      </c>
      <c r="D1166" t="str">
        <f ca="1">D1033</f>
        <v>Elena</v>
      </c>
      <c r="E1166" t="str">
        <f ca="1">E1033</f>
        <v>Megan</v>
      </c>
      <c r="F1166" t="str">
        <f ca="1">F1033</f>
        <v>Raven</v>
      </c>
      <c r="G1166" s="24" t="str">
        <f t="shared" ref="G1166:L1166" ca="1" si="180">IF(COUNTIF($B$1166:$F$1167,G1164)=0,"","POV - "&amp;COUNTIF($B$1166:$F$1167,G1164))</f>
        <v/>
      </c>
      <c r="H1166" s="24" t="str">
        <f t="shared" ca="1" si="180"/>
        <v/>
      </c>
      <c r="I1166" s="24" t="str">
        <f t="shared" ca="1" si="180"/>
        <v/>
      </c>
      <c r="J1166" s="24" t="str">
        <f t="shared" ca="1" si="180"/>
        <v>POV - 2</v>
      </c>
      <c r="K1166" s="24" t="str">
        <f t="shared" ca="1" si="180"/>
        <v>POV - 1</v>
      </c>
      <c r="L1166" s="31" t="str">
        <f t="shared" ca="1" si="180"/>
        <v/>
      </c>
    </row>
    <row r="1167" spans="1:12" x14ac:dyDescent="0.25">
      <c r="A1167" t="str">
        <f t="shared" ca="1" si="178"/>
        <v>Cody</v>
      </c>
      <c r="B1167" t="str">
        <f ca="1">B1034</f>
        <v>Cody</v>
      </c>
      <c r="C1167" t="str">
        <f ca="1">E1131</f>
        <v>Megan</v>
      </c>
      <c r="G1167" s="19" t="str">
        <f t="shared" ref="G1167:L1167" ca="1" si="181">G1034</f>
        <v>Josh</v>
      </c>
      <c r="H1167" s="19" t="str">
        <f t="shared" ca="1" si="181"/>
        <v>Elena</v>
      </c>
      <c r="I1167" s="19" t="str">
        <f t="shared" ca="1" si="181"/>
        <v>Ramses</v>
      </c>
      <c r="J1167" s="19" t="str">
        <f t="shared" ca="1" si="181"/>
        <v>Paul</v>
      </c>
      <c r="K1167" s="30" t="str">
        <f t="shared" ca="1" si="181"/>
        <v>Kevin</v>
      </c>
      <c r="L1167" s="19" t="str">
        <f t="shared" ca="1" si="181"/>
        <v>Dominique</v>
      </c>
    </row>
    <row r="1168" spans="1:12" x14ac:dyDescent="0.25">
      <c r="A1168" t="str">
        <f t="shared" ca="1" si="178"/>
        <v>Jason</v>
      </c>
      <c r="G1168" s="31" t="str">
        <f t="shared" ref="G1168:L1168" ca="1" si="182">IF(COUNTIF($B$1164:$F$1165,G1167)=0,"","HOH - "&amp;COUNTIF($B$1164:$F$1165,G1167))</f>
        <v>HOH - 2</v>
      </c>
      <c r="H1168" s="31" t="str">
        <f t="shared" ca="1" si="182"/>
        <v/>
      </c>
      <c r="I1168" s="31" t="str">
        <f t="shared" ca="1" si="182"/>
        <v>HOH - 1</v>
      </c>
      <c r="J1168" s="31" t="str">
        <f t="shared" ca="1" si="182"/>
        <v/>
      </c>
      <c r="K1168" s="32" t="str">
        <f t="shared" ca="1" si="182"/>
        <v/>
      </c>
      <c r="L1168" s="31" t="str">
        <f t="shared" ca="1" si="182"/>
        <v/>
      </c>
    </row>
    <row r="1169" spans="1:12" x14ac:dyDescent="0.25">
      <c r="A1169" t="str">
        <f t="shared" ca="1" si="178"/>
        <v>Jessica</v>
      </c>
      <c r="D1169" t="str">
        <f>IF(A1174="","","Halt")</f>
        <v/>
      </c>
      <c r="G1169" s="33" t="str">
        <f t="shared" ref="G1169:L1169" ca="1" si="183">IF(COUNTIF($B$1166:$F$1167,G1167)=0,"","POV - "&amp;COUNTIF($B$1166:$F$1167,G1167))</f>
        <v/>
      </c>
      <c r="H1169" s="33" t="str">
        <f t="shared" ca="1" si="183"/>
        <v>POV - 1</v>
      </c>
      <c r="I1169" s="33" t="str">
        <f t="shared" ca="1" si="183"/>
        <v/>
      </c>
      <c r="J1169" s="33" t="str">
        <f t="shared" ca="1" si="183"/>
        <v/>
      </c>
      <c r="K1169" s="34" t="str">
        <f t="shared" ca="1" si="183"/>
        <v/>
      </c>
      <c r="L1169" s="33" t="str">
        <f t="shared" ca="1" si="183"/>
        <v/>
      </c>
    </row>
    <row r="1170" spans="1:12" x14ac:dyDescent="0.25">
      <c r="A1170" t="str">
        <f t="shared" ca="1" si="178"/>
        <v>Mark</v>
      </c>
    </row>
    <row r="1171" spans="1:12" x14ac:dyDescent="0.25">
      <c r="A1171" t="str">
        <f t="shared" ca="1" si="178"/>
        <v>Matt</v>
      </c>
      <c r="G1171" s="2" t="s">
        <v>65</v>
      </c>
    </row>
    <row r="1172" spans="1:12" x14ac:dyDescent="0.25">
      <c r="A1172" t="str">
        <f t="shared" ca="1" si="178"/>
        <v>Megan</v>
      </c>
      <c r="G1172" t="s">
        <v>130</v>
      </c>
      <c r="H1172" t="str">
        <f ca="1">H1050</f>
        <v>Raven</v>
      </c>
    </row>
    <row r="1173" spans="1:12" x14ac:dyDescent="0.25">
      <c r="A1173" t="str">
        <f t="shared" ca="1" si="178"/>
        <v>Raven</v>
      </c>
    </row>
    <row r="1174" spans="1:12" x14ac:dyDescent="0.25">
      <c r="G1174" t="str">
        <f ca="1">IF(A1173="","","9th-")</f>
        <v>9th-</v>
      </c>
      <c r="H1174" t="str">
        <f ca="1">IF(A1184="","",INDEX(A1176:A1184,MATCH(LARGE(B1176:B1184,9),B1176:B1184,0)))</f>
        <v>Jason</v>
      </c>
    </row>
    <row r="1175" spans="1:12" x14ac:dyDescent="0.25">
      <c r="G1175" t="s">
        <v>46</v>
      </c>
      <c r="H1175" t="str">
        <f ca="1">INDEX(A1176:A1184,MATCH(LARGE(B1176:B1184,8),B1176:B1184,0))</f>
        <v>Christmas</v>
      </c>
    </row>
    <row r="1176" spans="1:12" x14ac:dyDescent="0.25">
      <c r="A1176" t="str">
        <f ca="1">IF(A1164=H1172,A1165,A1164)</f>
        <v>Alex</v>
      </c>
      <c r="B1176">
        <f t="shared" ref="B1176:B1183" ca="1" si="184">RAND()</f>
        <v>0.88185132213492279</v>
      </c>
      <c r="G1176" t="s">
        <v>47</v>
      </c>
      <c r="H1176" t="str">
        <f ca="1">INDEX(A1176:A1184,MATCH(LARGE(B1176:B1184,7),B1176:B1184,0))</f>
        <v>Mark</v>
      </c>
    </row>
    <row r="1177" spans="1:12" x14ac:dyDescent="0.25">
      <c r="A1177" t="str">
        <f t="shared" ref="A1177:A1184" ca="1" si="185">IF(A1176=A1165,A1166,IF(A1165=$H$1172,A1166,A1165))</f>
        <v>Cameron</v>
      </c>
      <c r="B1177">
        <f t="shared" ca="1" si="184"/>
        <v>0.18378235484314887</v>
      </c>
      <c r="G1177" t="s">
        <v>48</v>
      </c>
      <c r="H1177" t="str">
        <f ca="1">INDEX(A1176:A1184,MATCH(LARGE(B1176:B1184,6),B1176:B1184,0))</f>
        <v>Cameron</v>
      </c>
    </row>
    <row r="1178" spans="1:12" x14ac:dyDescent="0.25">
      <c r="A1178" t="str">
        <f t="shared" ca="1" si="185"/>
        <v>Christmas</v>
      </c>
      <c r="B1178">
        <f t="shared" ca="1" si="184"/>
        <v>1.1193769417364385E-2</v>
      </c>
      <c r="G1178" t="s">
        <v>49</v>
      </c>
      <c r="H1178" t="str">
        <f ca="1">INDEX(A1176:A1184,MATCH(LARGE(B1176:B1184,5),B1176:B1184,0))</f>
        <v>Matt</v>
      </c>
    </row>
    <row r="1179" spans="1:12" x14ac:dyDescent="0.25">
      <c r="A1179" t="str">
        <f t="shared" ca="1" si="185"/>
        <v>Cody</v>
      </c>
      <c r="B1179">
        <f t="shared" ca="1" si="184"/>
        <v>0.52433038530479359</v>
      </c>
      <c r="G1179" t="s">
        <v>50</v>
      </c>
      <c r="H1179" t="str">
        <f ca="1">INDEX(A1176:A1184,MATCH(LARGE(B1176:B1184,4),B1176:B1184,0))</f>
        <v>Megan</v>
      </c>
    </row>
    <row r="1180" spans="1:12" x14ac:dyDescent="0.25">
      <c r="A1180" t="str">
        <f t="shared" ca="1" si="185"/>
        <v>Jason</v>
      </c>
      <c r="B1180">
        <f t="shared" ca="1" si="184"/>
        <v>2.4679767121006391E-3</v>
      </c>
      <c r="G1180" t="s">
        <v>52</v>
      </c>
      <c r="H1180" t="str">
        <f ca="1">INDEX(A1176:A1184,MATCH(LARGE(B1176:B1184,3),B1176:B1184,0))</f>
        <v>Cody</v>
      </c>
    </row>
    <row r="1181" spans="1:12" x14ac:dyDescent="0.25">
      <c r="A1181" t="str">
        <f t="shared" ca="1" si="185"/>
        <v>Jessica</v>
      </c>
      <c r="B1181">
        <f t="shared" ca="1" si="184"/>
        <v>0.96385187145670448</v>
      </c>
      <c r="G1181" t="s">
        <v>53</v>
      </c>
      <c r="H1181" t="str">
        <f ca="1">INDEX(A1176:A1184,MATCH(LARGE(B1176:B1184,2),B1176:B1184,0))</f>
        <v>Alex</v>
      </c>
    </row>
    <row r="1182" spans="1:12" x14ac:dyDescent="0.25">
      <c r="A1182" t="str">
        <f t="shared" ca="1" si="185"/>
        <v>Mark</v>
      </c>
      <c r="B1182">
        <f t="shared" ca="1" si="184"/>
        <v>9.2024239379216888E-2</v>
      </c>
      <c r="G1182" t="s">
        <v>54</v>
      </c>
      <c r="H1182" t="str">
        <f ca="1">INDEX(A1176:A1184,MATCH(LARGE(B1176:B1184,1),B1176:B1184,0))</f>
        <v>Jessica</v>
      </c>
    </row>
    <row r="1183" spans="1:12" x14ac:dyDescent="0.25">
      <c r="A1183" t="str">
        <f t="shared" ca="1" si="185"/>
        <v>Matt</v>
      </c>
      <c r="B1183">
        <f t="shared" ca="1" si="184"/>
        <v>0.26841100954825681</v>
      </c>
      <c r="G1183" t="str">
        <f ca="1">"Congratulations, "&amp;H1182</f>
        <v>Congratulations, Jessica</v>
      </c>
    </row>
    <row r="1184" spans="1:12" x14ac:dyDescent="0.25">
      <c r="A1184" t="str">
        <f t="shared" ca="1" si="185"/>
        <v>Megan</v>
      </c>
      <c r="B1184">
        <f ca="1">IF(A1184="","",RAND())</f>
        <v>0.32448406408439656</v>
      </c>
    </row>
    <row r="1185" spans="1:9" x14ac:dyDescent="0.25">
      <c r="F1185" t="str">
        <f ca="1">H1182</f>
        <v>Jessica</v>
      </c>
      <c r="G1185" s="2" t="s">
        <v>83</v>
      </c>
    </row>
    <row r="1186" spans="1:9" x14ac:dyDescent="0.25">
      <c r="A1186" t="str">
        <f ca="1">INDEX(Sheet4!B363:R363,MATCH(SMALL(Sheet4!B364:R364,1),Sheet4!B364:R364,0))</f>
        <v>Megan</v>
      </c>
      <c r="B1186">
        <f ca="1">IF($I$26="On",SMALL(Sheet4!B364:R364,1),RAND())</f>
        <v>28.04830338810412</v>
      </c>
      <c r="F1186" t="str">
        <f ca="1">INDEX(A1186:A1194,MATCH(SMALL(B1186:B1194,1),B1186:B1194,0))</f>
        <v>Megan</v>
      </c>
      <c r="G1186" s="1" t="str">
        <f ca="1">"The first person "&amp;H1182&amp;" has nominated is…"</f>
        <v>The first person Jessica has nominated is…</v>
      </c>
    </row>
    <row r="1187" spans="1:9" x14ac:dyDescent="0.25">
      <c r="A1187" t="str">
        <f ca="1">INDEX(Sheet4!B363:R363,MATCH(SMALL(Sheet4!B364:R364,2),Sheet4!B364:R364,0))</f>
        <v>Alex</v>
      </c>
      <c r="B1187">
        <f ca="1">IF($I$26="On",SMALL(Sheet4!B364:R364,2),RAND())</f>
        <v>38.251270749609361</v>
      </c>
      <c r="F1187" t="str">
        <f ca="1">INDEX(A1186:A1194,MATCH(SMALL(B1186:B1194,2),B1186:B1194,0))</f>
        <v>Alex</v>
      </c>
      <c r="G1187" s="1" t="str">
        <f ca="1">F1186</f>
        <v>Megan</v>
      </c>
    </row>
    <row r="1188" spans="1:9" x14ac:dyDescent="0.25">
      <c r="A1188" t="str">
        <f ca="1">INDEX(Sheet4!B363:R363,MATCH(SMALL(Sheet4!B364:R364,3),Sheet4!B364:R364,0))</f>
        <v>Matt</v>
      </c>
      <c r="B1188">
        <f ca="1">IF($I$26="On",SMALL(Sheet4!B364:R364,3),RAND())</f>
        <v>43.093973233306507</v>
      </c>
      <c r="F1188" t="str">
        <f ca="1">INDEX(A1186:A1194,MATCH(SMALL(B1186:B1194,3),B1186:B1194,0))</f>
        <v>Matt</v>
      </c>
      <c r="G1188" s="1" t="str">
        <f ca="1">"The second person "&amp;H1182&amp;" has nominated is…"</f>
        <v>The second person Jessica has nominated is…</v>
      </c>
    </row>
    <row r="1189" spans="1:9" x14ac:dyDescent="0.25">
      <c r="A1189" t="str">
        <f ca="1">INDEX(Sheet4!B363:R363,MATCH(SMALL(Sheet4!B364:R364,4),Sheet4!B364:R364,0))</f>
        <v>Cameron</v>
      </c>
      <c r="B1189">
        <f ca="1">IF($I$26="On",SMALL(Sheet4!B364:R364,4),RAND())</f>
        <v>44.433469371378045</v>
      </c>
      <c r="F1189" t="str">
        <f ca="1">INDEX(A1186:A1194,MATCH(SMALL(B1186:B1194,4),B1186:B1194,0))</f>
        <v>Cameron</v>
      </c>
      <c r="G1189" s="1" t="str">
        <f ca="1">F1187</f>
        <v>Alex</v>
      </c>
    </row>
    <row r="1190" spans="1:9" x14ac:dyDescent="0.25">
      <c r="A1190" t="str">
        <f ca="1">INDEX(Sheet4!B363:R363,MATCH(SMALL(Sheet4!B364:R364,5),Sheet4!B364:R364,0))</f>
        <v>Cody</v>
      </c>
      <c r="B1190">
        <f ca="1">IF($I$26="On",SMALL(Sheet4!B364:R364,5),RAND())</f>
        <v>46.28551811425136</v>
      </c>
    </row>
    <row r="1191" spans="1:9" x14ac:dyDescent="0.25">
      <c r="A1191" t="str">
        <f ca="1">INDEX(Sheet4!B363:R363,MATCH(SMALL(Sheet4!B364:R364,6),Sheet4!B364:R364,0))</f>
        <v>Jason</v>
      </c>
      <c r="B1191">
        <f ca="1">IF($I$26="On",SMALL(Sheet4!B364:R364,6),RAND())</f>
        <v>51.265613737767033</v>
      </c>
      <c r="G1191" s="2" t="s">
        <v>105</v>
      </c>
    </row>
    <row r="1192" spans="1:9" x14ac:dyDescent="0.25">
      <c r="A1192" t="str">
        <f ca="1">INDEX(Sheet4!B363:R363,MATCH(SMALL(Sheet4!B364:R364,7),Sheet4!B364:R364,0))</f>
        <v>Mark</v>
      </c>
      <c r="B1192">
        <f ca="1">IF($I$26="On",SMALL(Sheet4!B364:R364,7),RAND())</f>
        <v>59.282946937072587</v>
      </c>
      <c r="F1192">
        <f>Sheet4!$A$66</f>
        <v>65</v>
      </c>
      <c r="G1192" t="str">
        <f ca="1">H1182&amp;"-"</f>
        <v>Jessica-</v>
      </c>
      <c r="H1192" s="29" t="str">
        <f ca="1">B1195</f>
        <v>Mark</v>
      </c>
      <c r="I1192" s="29" t="str">
        <f ca="1">IF(H1192="HGC",IF($I$26="On",INDEX(A1214:A1215,MATCH(SMALL(B1214:B1215,1),B1214:B1215,0)),INDEX(A1201:A1211,MATCH(LARGE(B1201:B1211,2),B1201:B1211,0))),"")</f>
        <v/>
      </c>
    </row>
    <row r="1193" spans="1:9" x14ac:dyDescent="0.25">
      <c r="A1193" t="str">
        <f ca="1">INDEX(Sheet4!B363:R363,MATCH(SMALL(Sheet4!B364:R364,8),Sheet4!B364:R364,0))</f>
        <v>Christmas</v>
      </c>
      <c r="B1193">
        <f ca="1">IF($I$26="On",SMALL(Sheet4!B364:R364,8),RAND())</f>
        <v>68.240859442058181</v>
      </c>
      <c r="E1193" t="str">
        <f ca="1">F1186</f>
        <v>Megan</v>
      </c>
      <c r="F1193">
        <f ca="1">INDEX($E$1041:$E$1054,MATCH(E1193,$D$1041:$D$1054,0))</f>
        <v>10.140565248618941</v>
      </c>
      <c r="G1193" t="str">
        <f ca="1">G1187&amp;"-"</f>
        <v>Megan-</v>
      </c>
      <c r="H1193" s="29" t="str">
        <f ca="1">C1195</f>
        <v>Cody</v>
      </c>
      <c r="I1193" s="29" t="str">
        <f ca="1">IF(H1193="HGC",IF($I$26="On",INDEX(C1214:C1217,MATCH(SMALL(D1214:D1217,1),D1214:D1217,0)),INDEX(A1201:A1211,MATCH(LARGE(C1201:C1211,2),C1201:C1211,0))),"")</f>
        <v/>
      </c>
    </row>
    <row r="1194" spans="1:9" x14ac:dyDescent="0.25">
      <c r="A1194" t="str">
        <f ca="1">IF(G1174="","",INDEX(Sheet4!B363:R363,MATCH(SMALL(Sheet4!B364:R364,9),Sheet4!B364:R364,0)))</f>
        <v>Raven</v>
      </c>
      <c r="B1194">
        <f ca="1">IF(A1194="","",IF($I$26="On",SMALL(Sheet4!B364:R364,9),RAND()))</f>
        <v>82.335943293871836</v>
      </c>
      <c r="E1194" t="str">
        <f ca="1">F1187</f>
        <v>Alex</v>
      </c>
      <c r="F1194">
        <f ca="1">INDEX($E$1041:$E$1054,MATCH(E1194,$D$1041:$D$1054,0))</f>
        <v>27.072683409527087</v>
      </c>
      <c r="G1194" t="str">
        <f ca="1">G1189&amp;"-"</f>
        <v>Alex-</v>
      </c>
      <c r="H1194" s="29" t="str">
        <f ca="1">D1195</f>
        <v>Christmas</v>
      </c>
      <c r="I1194" s="29" t="str">
        <f ca="1">IF(H1194="HGC",IF($I$26="On",INDEX(E1214:E1218,MATCH(SMALL(F1214:F1218,1),F1214:F1218,0)),INDEX(A1201:A1211,MATCH(LARGE(D1201:D1211,2),D1201:D1211,0))),"")</f>
        <v/>
      </c>
    </row>
    <row r="1195" spans="1:9" x14ac:dyDescent="0.25">
      <c r="B1195" t="str">
        <f ca="1">INDEX(A1201:A1211,MATCH(LARGE(B1201:B1211,1),B1201:B1211,0))</f>
        <v>Mark</v>
      </c>
      <c r="C1195" t="str">
        <f ca="1">INDEX(A1201:A1211,MATCH(LARGE(C1201:C1211,1),C1201:C1211,0))</f>
        <v>Cody</v>
      </c>
      <c r="D1195" t="str">
        <f ca="1">INDEX(A1201:A1211,MATCH(LARGE(D1201:D1211,1),D1201:D1211,0))</f>
        <v>Christmas</v>
      </c>
    </row>
    <row r="1196" spans="1:9" x14ac:dyDescent="0.25">
      <c r="B1196" t="str">
        <f ca="1">I1192</f>
        <v/>
      </c>
      <c r="C1196" t="str">
        <f ca="1">I1193</f>
        <v/>
      </c>
      <c r="E1196">
        <f ca="1">COUNTIF(F1193:F1195,"&gt;="&amp;F1192)</f>
        <v>0</v>
      </c>
      <c r="F1196">
        <v>2</v>
      </c>
      <c r="G1196" s="1" t="str">
        <f ca="1">IF(F1200="Yes",F1198&amp;" stands up and decides to use The Ring of Replacement","")</f>
        <v/>
      </c>
    </row>
    <row r="1197" spans="1:9" x14ac:dyDescent="0.25">
      <c r="F1197">
        <f ca="1">IF(F1196=2,IF(E1196=2,3.5,E1196+0.5),E1196+0.5)</f>
        <v>0.5</v>
      </c>
      <c r="G1197" s="1" t="str">
        <f ca="1">IF(G1196="","",F1198&amp;" uses it to replace…")</f>
        <v/>
      </c>
    </row>
    <row r="1198" spans="1:9" x14ac:dyDescent="0.25">
      <c r="F1198" s="1" t="str">
        <f ca="1">$G$387</f>
        <v>Raven</v>
      </c>
      <c r="G1198" s="1" t="str">
        <f ca="1">IF(G1197="","",INDEX(A1225:A1227,MATCH(SMALL(B1225:B1227,1),B1225:B1227,0)))</f>
        <v/>
      </c>
    </row>
    <row r="1199" spans="1:9" x14ac:dyDescent="0.25">
      <c r="F1199" s="1" t="str">
        <f ca="1">IF(F1105="","",IF(G1101&lt;&gt;"","",IF(COUNTIF(E993:E996,F1198)+COUNTIF(G1152,F1198)=1,"",IF(COUNTIF(F1185:F1187,F1198)+COUNTIF(H1192:I1194,F1198)=1,"IN",RANDBETWEEN(1,3)))))</f>
        <v/>
      </c>
    </row>
    <row r="1200" spans="1:9" x14ac:dyDescent="0.25">
      <c r="F1200" t="str">
        <f ca="1">IF(F1199="","",IF(F1199="IN","No",IF($I$26="On",IF(F1199&lt;=F1197,"Yes","No"),IF(F1199=1,"Yes","No"))))</f>
        <v/>
      </c>
      <c r="G1200" s="2" t="s">
        <v>106</v>
      </c>
    </row>
    <row r="1201" spans="1:9" x14ac:dyDescent="0.25">
      <c r="A1201" t="str">
        <f t="shared" ref="A1201:A1210" ca="1" si="186">A1164</f>
        <v>Alex</v>
      </c>
      <c r="B1201" t="str">
        <f t="shared" ref="B1201:B1209" ca="1" si="187">IF(COUNTIF($F$1185:$F$1187,A1201)=1,"",RAND())</f>
        <v/>
      </c>
      <c r="C1201" t="str">
        <f ca="1">IF(COUNTIF(B1195:B1196,A1201)=1,"",IF(B1201="","",RAND()))</f>
        <v/>
      </c>
      <c r="D1201" t="str">
        <f ca="1">IF(COUNTIF(C1195:C1196,A1201)=1,"",IF(C1201="","",RAND()))</f>
        <v/>
      </c>
      <c r="E1201" t="str">
        <f t="shared" ref="E1201:E1209" ca="1" si="188">IF(COUNTIF($G$1201:$I$1202,A1201)=1,"",RAND())</f>
        <v/>
      </c>
      <c r="G1201" s="29" t="str">
        <f ca="1">H1182</f>
        <v>Jessica</v>
      </c>
      <c r="H1201" s="29" t="str">
        <f ca="1">G1187</f>
        <v>Megan</v>
      </c>
      <c r="I1201" s="29" t="str">
        <f ca="1">G1189</f>
        <v>Alex</v>
      </c>
    </row>
    <row r="1202" spans="1:9" x14ac:dyDescent="0.25">
      <c r="A1202" t="str">
        <f t="shared" ca="1" si="186"/>
        <v>Cameron</v>
      </c>
      <c r="B1202">
        <f t="shared" ca="1" si="187"/>
        <v>0.41688792269751662</v>
      </c>
      <c r="C1202">
        <f t="shared" ref="C1202:C1211" ca="1" si="189">IF(COUNTIF(B$1195:B$1196,A1202)=1,"",IF(B1202="","",RAND()))</f>
        <v>0.48680603988735527</v>
      </c>
      <c r="D1202">
        <f t="shared" ref="D1202:D1211" ca="1" si="190">IF(COUNTIF(C$1195:C$1196,A1202)=1,"",IF(C1202="","",RAND()))</f>
        <v>0.65355584591459848</v>
      </c>
      <c r="E1202">
        <f t="shared" ca="1" si="188"/>
        <v>0.79344821026125689</v>
      </c>
      <c r="G1202" s="29" t="str">
        <f ca="1">IF(A1225=G1198,B1228,A1225)</f>
        <v>Mark</v>
      </c>
      <c r="H1202" s="29" t="str">
        <f ca="1">IF(A1226=G1198,B1228,A1226)</f>
        <v>Cody</v>
      </c>
      <c r="I1202" s="29" t="str">
        <f ca="1">IF(A1227=G1198,B1228,A1227)</f>
        <v>Christmas</v>
      </c>
    </row>
    <row r="1203" spans="1:9" x14ac:dyDescent="0.25">
      <c r="A1203" t="str">
        <f t="shared" ca="1" si="186"/>
        <v>Christmas</v>
      </c>
      <c r="B1203">
        <f t="shared" ca="1" si="187"/>
        <v>0.6462643874363968</v>
      </c>
      <c r="C1203">
        <f t="shared" ca="1" si="189"/>
        <v>0.15305952058640115</v>
      </c>
      <c r="D1203">
        <f t="shared" ca="1" si="190"/>
        <v>0.81421223311778756</v>
      </c>
      <c r="E1203" t="str">
        <f t="shared" ca="1" si="188"/>
        <v/>
      </c>
      <c r="G1203" t="s">
        <v>107</v>
      </c>
      <c r="H1203" t="str">
        <f ca="1">INDEX(A1201:A1211,MATCH(LARGE(E1201:E1211,1),E1201:E1211,0))</f>
        <v>Matt</v>
      </c>
    </row>
    <row r="1204" spans="1:9" x14ac:dyDescent="0.25">
      <c r="A1204" t="str">
        <f t="shared" ca="1" si="186"/>
        <v>Cody</v>
      </c>
      <c r="B1204">
        <f t="shared" ca="1" si="187"/>
        <v>0.7406026329461981</v>
      </c>
      <c r="C1204">
        <f t="shared" ca="1" si="189"/>
        <v>0.67144393592951224</v>
      </c>
      <c r="D1204" t="str">
        <f t="shared" ca="1" si="190"/>
        <v/>
      </c>
      <c r="E1204" t="str">
        <f t="shared" ca="1" si="188"/>
        <v/>
      </c>
    </row>
    <row r="1205" spans="1:9" x14ac:dyDescent="0.25">
      <c r="A1205" t="str">
        <f t="shared" ca="1" si="186"/>
        <v>Jason</v>
      </c>
      <c r="B1205">
        <f t="shared" ca="1" si="187"/>
        <v>0.62156444685487555</v>
      </c>
      <c r="C1205">
        <f t="shared" ca="1" si="189"/>
        <v>0.53144736283591554</v>
      </c>
      <c r="D1205">
        <f t="shared" ca="1" si="190"/>
        <v>0.78796092939622131</v>
      </c>
      <c r="E1205">
        <f t="shared" ca="1" si="188"/>
        <v>6.759310104854499E-2</v>
      </c>
      <c r="G1205" t="s">
        <v>48</v>
      </c>
      <c r="H1205" t="str">
        <f ca="1">INDEX(C1223:C1228,MATCH(SMALL(D1223:D1228,1),D1223:D1228,0))</f>
        <v>Alex</v>
      </c>
    </row>
    <row r="1206" spans="1:9" x14ac:dyDescent="0.25">
      <c r="A1206" t="str">
        <f t="shared" ca="1" si="186"/>
        <v>Jessica</v>
      </c>
      <c r="B1206" t="str">
        <f t="shared" ca="1" si="187"/>
        <v/>
      </c>
      <c r="C1206" t="str">
        <f t="shared" ca="1" si="189"/>
        <v/>
      </c>
      <c r="D1206" t="str">
        <f t="shared" ca="1" si="190"/>
        <v/>
      </c>
      <c r="E1206" t="str">
        <f t="shared" ca="1" si="188"/>
        <v/>
      </c>
      <c r="G1206" t="s">
        <v>49</v>
      </c>
      <c r="H1206" t="str">
        <f ca="1">INDEX(C1223:C1228,MATCH(SMALL(D1223:D1228,2),D1223:D1228,0))</f>
        <v>Christmas</v>
      </c>
    </row>
    <row r="1207" spans="1:9" x14ac:dyDescent="0.25">
      <c r="A1207" t="str">
        <f t="shared" ca="1" si="186"/>
        <v>Mark</v>
      </c>
      <c r="B1207">
        <f t="shared" ca="1" si="187"/>
        <v>0.89553260021195746</v>
      </c>
      <c r="C1207" t="str">
        <f t="shared" ca="1" si="189"/>
        <v/>
      </c>
      <c r="D1207" t="str">
        <f t="shared" ca="1" si="190"/>
        <v/>
      </c>
      <c r="E1207" t="str">
        <f t="shared" ca="1" si="188"/>
        <v/>
      </c>
      <c r="G1207" t="s">
        <v>50</v>
      </c>
      <c r="H1207" t="str">
        <f ca="1">INDEX(C1223:C1228,MATCH(SMALL(D1223:D1228,3),D1223:D1228,0))</f>
        <v>Jessica</v>
      </c>
    </row>
    <row r="1208" spans="1:9" x14ac:dyDescent="0.25">
      <c r="A1208" t="str">
        <f t="shared" ca="1" si="186"/>
        <v>Matt</v>
      </c>
      <c r="B1208">
        <f t="shared" ca="1" si="187"/>
        <v>0.49989345023678777</v>
      </c>
      <c r="C1208">
        <f t="shared" ca="1" si="189"/>
        <v>0.46259801500705944</v>
      </c>
      <c r="D1208">
        <f t="shared" ca="1" si="190"/>
        <v>0.52488261694064287</v>
      </c>
      <c r="E1208">
        <f t="shared" ca="1" si="188"/>
        <v>0.80262801377988313</v>
      </c>
      <c r="G1208" t="s">
        <v>52</v>
      </c>
      <c r="H1208" t="str">
        <f ca="1">INDEX(C1223:C1228,MATCH(SMALL(D1223:D1228,4),D1223:D1228,0))</f>
        <v>Megan</v>
      </c>
    </row>
    <row r="1209" spans="1:9" x14ac:dyDescent="0.25">
      <c r="A1209" t="str">
        <f t="shared" ca="1" si="186"/>
        <v>Megan</v>
      </c>
      <c r="B1209" t="str">
        <f t="shared" ca="1" si="187"/>
        <v/>
      </c>
      <c r="C1209" t="str">
        <f t="shared" ca="1" si="189"/>
        <v/>
      </c>
      <c r="D1209" t="str">
        <f t="shared" ca="1" si="190"/>
        <v/>
      </c>
      <c r="E1209" t="str">
        <f t="shared" ca="1" si="188"/>
        <v/>
      </c>
      <c r="G1209" t="s">
        <v>53</v>
      </c>
      <c r="H1209" t="str">
        <f ca="1">INDEX(C1223:C1228,MATCH(SMALL(D1223:D1228,5),D1223:D1228,0))</f>
        <v>Cody</v>
      </c>
    </row>
    <row r="1210" spans="1:9" x14ac:dyDescent="0.25">
      <c r="A1210" t="str">
        <f t="shared" ca="1" si="186"/>
        <v>Raven</v>
      </c>
      <c r="B1210">
        <f ca="1">IF(A1210="","",IF(COUNTIF($F$1185:$F$1187,A1210)=1,"",RAND()))</f>
        <v>0.83640492156934321</v>
      </c>
      <c r="C1210">
        <f t="shared" ca="1" si="189"/>
        <v>0.12204540546971998</v>
      </c>
      <c r="D1210">
        <f t="shared" ca="1" si="190"/>
        <v>0.80956528776172521</v>
      </c>
      <c r="E1210">
        <f ca="1">IF(A1210="","",IF(COUNTIF($G$1201:$I$1202,A1210)=1,"",RAND()))</f>
        <v>0.70656233688507275</v>
      </c>
      <c r="G1210" t="s">
        <v>54</v>
      </c>
      <c r="H1210" t="str">
        <f ca="1">INDEX(C1223:C1228,MATCH(SMALL(D1223:D1228,6),D1223:D1228,0))</f>
        <v>Mark</v>
      </c>
    </row>
    <row r="1211" spans="1:9" x14ac:dyDescent="0.25">
      <c r="A1211" t="s">
        <v>89</v>
      </c>
      <c r="B1211">
        <f ca="1">RAND()</f>
        <v>0.42879937052787676</v>
      </c>
      <c r="C1211">
        <f t="shared" ca="1" si="189"/>
        <v>0.58712567823032891</v>
      </c>
      <c r="D1211">
        <f t="shared" ca="1" si="190"/>
        <v>0.23932236016610975</v>
      </c>
      <c r="G1211" t="str">
        <f ca="1">"Congratulations, "&amp;H1210</f>
        <v>Congratulations, Mark</v>
      </c>
    </row>
    <row r="1212" spans="1:9" x14ac:dyDescent="0.25">
      <c r="F1212">
        <f ca="1">RANDBETWEEN(1,4)</f>
        <v>4</v>
      </c>
    </row>
    <row r="1213" spans="1:9" x14ac:dyDescent="0.25">
      <c r="A1213" t="str">
        <f ca="1">H1182</f>
        <v>Jessica</v>
      </c>
      <c r="C1213" t="str">
        <f ca="1">G1187</f>
        <v>Megan</v>
      </c>
      <c r="E1213" t="str">
        <f ca="1">G1189</f>
        <v>Alex</v>
      </c>
      <c r="G1213" s="2" t="s">
        <v>111</v>
      </c>
    </row>
    <row r="1214" spans="1:9" x14ac:dyDescent="0.25">
      <c r="A1214" t="str">
        <f ca="1">INDEX(Sheet4!B353:R353,MATCH(Game!A1213,Sheet4!B352:R352,0))</f>
        <v>Raven</v>
      </c>
      <c r="B1214">
        <v>1</v>
      </c>
      <c r="C1214" t="str">
        <f ca="1">INDEX(Sheet4!B353:R353,MATCH(Game!C1213,Sheet4!B352:R352,0))</f>
        <v>Jason</v>
      </c>
      <c r="D1214">
        <f ca="1">IF(COUNTIF(A1216:A1219,C1214)&gt;=1,"",1)</f>
        <v>1</v>
      </c>
      <c r="E1214" t="str">
        <f ca="1">INDEX(Sheet4!B353:R353,MATCH(Game!E1213,Sheet4!B352:R352,0))</f>
        <v>Mark</v>
      </c>
      <c r="F1214" t="str">
        <f ca="1">IF(E1214="","",IF(COUNTIF(A1217:A1221,E1214)&gt;=1,"",1))</f>
        <v/>
      </c>
      <c r="G1214" t="str">
        <f ca="1">H1210&amp;" has decided to use the POV to save"</f>
        <v>Mark has decided to use the POV to save</v>
      </c>
    </row>
    <row r="1215" spans="1:9" x14ac:dyDescent="0.25">
      <c r="C1215" t="str">
        <f ca="1">INDEX(Sheet4!B354:R354,MATCH(Game!C1213,Sheet4!B352:R352,0))</f>
        <v>Matt</v>
      </c>
      <c r="D1215">
        <f ca="1">IF(COUNTIF(A1216:A1219,C1215)&gt;=1,"",2)</f>
        <v>2</v>
      </c>
      <c r="E1215" t="str">
        <f ca="1">INDEX(Sheet4!B355:R355,MATCH(Game!E1213,Sheet4!B352:R352,0))</f>
        <v>Jason</v>
      </c>
      <c r="F1215">
        <f ca="1">IF(E1215="","",IF(COUNTIF(A1217:A1221,E1215)&gt;=1,"",2))</f>
        <v>2</v>
      </c>
      <c r="G1215" t="str">
        <f ca="1">IF($I$26="On",Sheet4!A370,IF(COUNTIF(F1186:F1187,H1210)=1,H1210,IF(F1212=1,F1186,IF(F1212=2,F1187,"Neither Nominee"))))</f>
        <v>Alex</v>
      </c>
    </row>
    <row r="1216" spans="1:9" x14ac:dyDescent="0.25">
      <c r="A1216" t="str">
        <f ca="1">H1182</f>
        <v>Jessica</v>
      </c>
      <c r="C1216" t="str">
        <f ca="1">INDEX(Sheet4!B355:R355,MATCH(Game!C1213,Sheet4!B352:R352,0))</f>
        <v>Cameron</v>
      </c>
      <c r="D1216">
        <f ca="1">IF(COUNTIF(A1216:A1219,C1216)&gt;=1,"",3)</f>
        <v>3</v>
      </c>
      <c r="E1216" t="str">
        <f ca="1">INDEX(Sheet4!B356:R356,MATCH(Game!E1213,Sheet4!B352:R352,0))</f>
        <v>Megan</v>
      </c>
      <c r="F1216" t="str">
        <f ca="1">IF(E1216="","",IF(COUNTIF(A1217:A1221,E1216)&gt;=1,"",3))</f>
        <v/>
      </c>
      <c r="G1216" t="str">
        <f ca="1">IF(G1215="Neither Nominee","This POV Ceremony is adjourned",H1182&amp;" has decided to put up")</f>
        <v>Jessica has decided to put up</v>
      </c>
    </row>
    <row r="1217" spans="1:8" x14ac:dyDescent="0.25">
      <c r="A1217" t="str">
        <f ca="1">G1187</f>
        <v>Megan</v>
      </c>
      <c r="C1217" t="str">
        <f ca="1">INDEX(Sheet4!B356:R356,MATCH(Game!C1213,Sheet4!B352:R352,0))</f>
        <v>Alex</v>
      </c>
      <c r="D1217" t="str">
        <f ca="1">IF(COUNTIF(A1216:A1219,C1217)&gt;=1,"",4)</f>
        <v/>
      </c>
      <c r="E1217" t="str">
        <f ca="1">INDEX(Sheet4!B357:R357,MATCH(Game!E1213,Sheet4!B352:R352,0))</f>
        <v>Christmas</v>
      </c>
      <c r="F1217">
        <f ca="1">IF(E1217="","",IF(COUNTIF(A1217:A1221,E1217)&gt;=1,"",4))</f>
        <v>4</v>
      </c>
      <c r="G1217" t="str">
        <f ca="1">IF(COUNTIF(G1216,"*adjourned")=1,"",D1219)</f>
        <v>Matt</v>
      </c>
    </row>
    <row r="1218" spans="1:8" x14ac:dyDescent="0.25">
      <c r="A1218" t="str">
        <f ca="1">G1189</f>
        <v>Alex</v>
      </c>
      <c r="E1218" t="str">
        <f ca="1">INDEX(Sheet4!B358:R358,MATCH(Game!E1213,Sheet4!B352:R352,0))</f>
        <v>Jessica</v>
      </c>
      <c r="F1218">
        <f ca="1">IF(E1218="","",IF(COUNTIF(A1217:A1221,E1218)&gt;=1,"",5))</f>
        <v>5</v>
      </c>
      <c r="G1218" t="s">
        <v>152</v>
      </c>
    </row>
    <row r="1219" spans="1:8" x14ac:dyDescent="0.25">
      <c r="A1219" t="str">
        <f ca="1">IF(H1192="HGC",I1192,H1192)</f>
        <v>Mark</v>
      </c>
      <c r="C1219" t="str">
        <f ca="1">F1188</f>
        <v>Matt</v>
      </c>
      <c r="D1219" t="str">
        <f ca="1">IF(C1219=H1210,C1220,C1219)</f>
        <v>Matt</v>
      </c>
      <c r="G1219" t="str">
        <f ca="1">IF(F1186=G1215,G1217,F1186)</f>
        <v>Megan</v>
      </c>
    </row>
    <row r="1220" spans="1:8" x14ac:dyDescent="0.25">
      <c r="A1220" t="str">
        <f ca="1">IF(H1193="HGC",I1193,H1193)</f>
        <v>Cody</v>
      </c>
      <c r="C1220" t="str">
        <f ca="1">F1189</f>
        <v>Cameron</v>
      </c>
      <c r="G1220" t="str">
        <f ca="1">IF(F1187=G1215,G1217,F1187)</f>
        <v>Matt</v>
      </c>
    </row>
    <row r="1222" spans="1:8" x14ac:dyDescent="0.25">
      <c r="G1222" s="2" t="s">
        <v>114</v>
      </c>
    </row>
    <row r="1223" spans="1:8" x14ac:dyDescent="0.25">
      <c r="C1223" t="str">
        <f ca="1">G1201</f>
        <v>Jessica</v>
      </c>
      <c r="D1223">
        <f t="shared" ref="D1223:D1228" ca="1" si="191">RAND()</f>
        <v>0.70827912679448612</v>
      </c>
      <c r="E1223" t="str">
        <f ca="1">IF(A1173="","No","Yes")</f>
        <v>Yes</v>
      </c>
      <c r="F1223" t="str">
        <f ca="1">H1182</f>
        <v>Jessica</v>
      </c>
      <c r="G1223" s="29" t="str">
        <f ca="1">G1219</f>
        <v>Megan</v>
      </c>
      <c r="H1223" s="29" t="str">
        <f ca="1">G1220</f>
        <v>Matt</v>
      </c>
    </row>
    <row r="1224" spans="1:8" x14ac:dyDescent="0.25">
      <c r="C1224" t="str">
        <f ca="1">H1201</f>
        <v>Megan</v>
      </c>
      <c r="D1224">
        <f t="shared" ca="1" si="191"/>
        <v>0.71340354314591492</v>
      </c>
    </row>
    <row r="1225" spans="1:8" x14ac:dyDescent="0.25">
      <c r="A1225" t="str">
        <f ca="1">IF(H1192="HGC",I1192,H1192)</f>
        <v>Mark</v>
      </c>
      <c r="B1225">
        <f ca="1">IF($I$26="On",INDEX($E$1041:$E$1054,MATCH(A1225,$D$1041:$D$1054,0)),RAND())</f>
        <v>14.404075662040396</v>
      </c>
      <c r="C1225" t="str">
        <f ca="1">I1201</f>
        <v>Alex</v>
      </c>
      <c r="D1225">
        <f t="shared" ca="1" si="191"/>
        <v>3.2767683978376705E-2</v>
      </c>
      <c r="G1225" t="str">
        <f ca="1">IF(E1223="No","The Halting Hex wasn't used","")</f>
        <v/>
      </c>
    </row>
    <row r="1226" spans="1:8" x14ac:dyDescent="0.25">
      <c r="A1226" t="str">
        <f ca="1">IF(H1193="HGC",I1193,H1193)</f>
        <v>Cody</v>
      </c>
      <c r="B1226">
        <f ca="1">IF($I$26="On",INDEX($E$1041:$E$1054,MATCH(A1226,$D$1041:$D$1054,0)),RAND())</f>
        <v>73.03778757742748</v>
      </c>
      <c r="C1226" t="str">
        <f ca="1">IF(H1192="HGC",I1192,H1192)</f>
        <v>Mark</v>
      </c>
      <c r="D1226">
        <f t="shared" ca="1" si="191"/>
        <v>0.99676440082960494</v>
      </c>
      <c r="G1226" t="str">
        <f ca="1">IF(G1225="","","Because of that, this eviction is cancelled")</f>
        <v/>
      </c>
    </row>
    <row r="1227" spans="1:8" x14ac:dyDescent="0.25">
      <c r="A1227" t="str">
        <f ca="1">IF(H1194="HGC",I1194,H1194)</f>
        <v>Christmas</v>
      </c>
      <c r="B1227">
        <f ca="1">IF($I$26="On",INDEX($E$1041:$E$1054,MATCH(A1227,$D$1041:$D$1054,0)),RAND())</f>
        <v>49.206725336114673</v>
      </c>
      <c r="C1227" t="str">
        <f ca="1">IF(H1193="HGC",I1193,H1193)</f>
        <v>Cody</v>
      </c>
      <c r="D1227">
        <f t="shared" ca="1" si="191"/>
        <v>0.90073893280138229</v>
      </c>
      <c r="F1227" t="str">
        <f ca="1">INDEX(A1229:A1238,MATCH(SMALL(B1229:B1238,1),B1229:B1238,0))</f>
        <v>Jason</v>
      </c>
      <c r="G1227" t="str">
        <f t="shared" ref="G1227:G1233" ca="1" si="192">IF($E$1223="Yes",F1227&amp;"-","")</f>
        <v>Jason-</v>
      </c>
      <c r="H1227" t="str">
        <f ca="1">IF($E$1223="No","",IF($I$26="On",INDEX(Sheet4!$B$376:$R$376,MATCH(Game!F1227,Sheet4!$B$372:$R$372,0)),IF(RANDBETWEEN(1,2)=1,$G$1223,$H$1223)))</f>
        <v>Megan</v>
      </c>
    </row>
    <row r="1228" spans="1:8" x14ac:dyDescent="0.25">
      <c r="B1228" t="str">
        <f ca="1">IF(F1200="Yes",F1198,"")</f>
        <v/>
      </c>
      <c r="C1228" t="str">
        <f ca="1">IF(H1194="HGC",I1194,H1194)</f>
        <v>Christmas</v>
      </c>
      <c r="D1228">
        <f t="shared" ca="1" si="191"/>
        <v>0.52600677556624964</v>
      </c>
      <c r="F1228" t="str">
        <f ca="1">INDEX(A1229:A1238,MATCH(SMALL(B1229:B1238,2),B1229:B1238,0))</f>
        <v>Alex</v>
      </c>
      <c r="G1228" t="str">
        <f t="shared" ca="1" si="192"/>
        <v>Alex-</v>
      </c>
      <c r="H1228" t="str">
        <f ca="1">IF($E$1223="No","",IF($I$26="On",INDEX(Sheet4!$B$376:$R$376,MATCH(Game!F1228,Sheet4!$B$372:$R$372,0)),IF(RANDBETWEEN(1,2)=1,$G$1223,$H$1223)))</f>
        <v>Matt</v>
      </c>
    </row>
    <row r="1229" spans="1:8" x14ac:dyDescent="0.25">
      <c r="A1229" t="str">
        <f t="shared" ref="A1229:A1238" ca="1" si="193">A1164</f>
        <v>Alex</v>
      </c>
      <c r="B1229">
        <f t="shared" ref="B1229:B1237" ca="1" si="194">IF(COUNTIF($F$1223:$H$1223,A1229)=1,"",RAND())</f>
        <v>0.34871212708365151</v>
      </c>
      <c r="F1229" t="str">
        <f ca="1">INDEX(A1229:A1238,MATCH(SMALL(B1229:B1238,3),B1229:B1238,0))</f>
        <v>Mark</v>
      </c>
      <c r="G1229" t="str">
        <f t="shared" ca="1" si="192"/>
        <v>Mark-</v>
      </c>
      <c r="H1229" t="str">
        <f ca="1">IF($E$1223="No","",IF($I$26="On",INDEX(Sheet4!$B$376:$R$376,MATCH(Game!F1229,Sheet4!$B$372:$R$372,0)),IF(RANDBETWEEN(1,2)=1,$G$1223,$H$1223)))</f>
        <v>Megan</v>
      </c>
    </row>
    <row r="1230" spans="1:8" x14ac:dyDescent="0.25">
      <c r="A1230" t="str">
        <f t="shared" ca="1" si="193"/>
        <v>Cameron</v>
      </c>
      <c r="B1230">
        <f t="shared" ca="1" si="194"/>
        <v>0.67675687688786734</v>
      </c>
      <c r="F1230" t="str">
        <f ca="1">INDEX(A1229:A1238,MATCH(SMALL(B1229:B1238,4),B1229:B1238,0))</f>
        <v>Raven</v>
      </c>
      <c r="G1230" t="str">
        <f t="shared" ca="1" si="192"/>
        <v>Raven-</v>
      </c>
      <c r="H1230" t="str">
        <f ca="1">IF($E$1223="No","",IF($I$26="On",INDEX(Sheet4!$B$376:$R$376,MATCH(Game!F1230,Sheet4!$B$372:$R$372,0)),IF(RANDBETWEEN(1,2)=1,$G$1223,$H$1223)))</f>
        <v>Megan</v>
      </c>
    </row>
    <row r="1231" spans="1:8" x14ac:dyDescent="0.25">
      <c r="A1231" t="str">
        <f t="shared" ca="1" si="193"/>
        <v>Christmas</v>
      </c>
      <c r="B1231">
        <f t="shared" ca="1" si="194"/>
        <v>0.72244900396553868</v>
      </c>
      <c r="F1231" t="str">
        <f ca="1">INDEX(A1229:A1238,MATCH(SMALL(B1229:B1238,5),B1229:B1238,0))</f>
        <v>Cody</v>
      </c>
      <c r="G1231" t="str">
        <f t="shared" ca="1" si="192"/>
        <v>Cody-</v>
      </c>
      <c r="H1231" t="str">
        <f ca="1">IF($E$1223="No","",IF($I$26="On",INDEX(Sheet4!$B$376:$R$376,MATCH(Game!F1231,Sheet4!$B$372:$R$372,0)),IF(RANDBETWEEN(1,2)=1,$G$1223,$H$1223)))</f>
        <v>Megan</v>
      </c>
    </row>
    <row r="1232" spans="1:8" x14ac:dyDescent="0.25">
      <c r="A1232" t="str">
        <f t="shared" ca="1" si="193"/>
        <v>Cody</v>
      </c>
      <c r="B1232">
        <f t="shared" ca="1" si="194"/>
        <v>0.66027230298666884</v>
      </c>
      <c r="F1232" t="str">
        <f ca="1">INDEX(A1229:A1238,MATCH(SMALL(B1229:B1238,6),B1229:B1238,0))</f>
        <v>Cameron</v>
      </c>
      <c r="G1232" t="str">
        <f t="shared" ca="1" si="192"/>
        <v>Cameron-</v>
      </c>
      <c r="H1232" t="str">
        <f ca="1">IF($E$1223="No","",IF($I$26="On",INDEX(Sheet4!$B$376:$R$376,MATCH(Game!F1232,Sheet4!$B$372:$R$372,0)),IF(RANDBETWEEN(1,2)=1,$G$1223,$H$1223)))</f>
        <v>Megan</v>
      </c>
    </row>
    <row r="1233" spans="1:12" x14ac:dyDescent="0.25">
      <c r="A1233" t="str">
        <f t="shared" ca="1" si="193"/>
        <v>Jason</v>
      </c>
      <c r="B1233">
        <f t="shared" ca="1" si="194"/>
        <v>0.11910161067577429</v>
      </c>
      <c r="F1233" t="str">
        <f ca="1">IF(E1223="No","",INDEX(A1229:A1238,MATCH(SMALL(B1229:B1238,7),B1229:B1238,0)))</f>
        <v>Christmas</v>
      </c>
      <c r="G1233" t="str">
        <f t="shared" ca="1" si="192"/>
        <v>Christmas-</v>
      </c>
      <c r="H1233" t="str">
        <f ca="1">IF($E$1223="No","",IF($I$26="On",INDEX(Sheet4!$B$376:$R$376,MATCH(Game!F1233,Sheet4!$B$372:$R$372,0)),IF(RANDBETWEEN(1,2)=1,$G$1223,$H$1223)))</f>
        <v>Megan</v>
      </c>
    </row>
    <row r="1234" spans="1:12" x14ac:dyDescent="0.25">
      <c r="A1234" t="str">
        <f t="shared" ca="1" si="193"/>
        <v>Jessica</v>
      </c>
      <c r="B1234" t="str">
        <f t="shared" ca="1" si="194"/>
        <v/>
      </c>
    </row>
    <row r="1235" spans="1:12" x14ac:dyDescent="0.25">
      <c r="A1235" t="str">
        <f t="shared" ca="1" si="193"/>
        <v>Mark</v>
      </c>
      <c r="B1235">
        <f t="shared" ca="1" si="194"/>
        <v>0.41960770025133165</v>
      </c>
      <c r="G1235" t="str">
        <f ca="1">IF(E1223="Yes","By a vote of "&amp;LARGE(E1236:E1237,1)&amp;"-"&amp;LARGE(E1236:E1237,2),"")</f>
        <v>By a vote of 6-1</v>
      </c>
    </row>
    <row r="1236" spans="1:12" x14ac:dyDescent="0.25">
      <c r="A1236" t="str">
        <f t="shared" ca="1" si="193"/>
        <v>Matt</v>
      </c>
      <c r="B1236" t="str">
        <f t="shared" ca="1" si="194"/>
        <v/>
      </c>
      <c r="D1236" t="str">
        <f ca="1">G1223</f>
        <v>Megan</v>
      </c>
      <c r="E1236">
        <f ca="1">COUNTIF(H1227:H1233,D1236)</f>
        <v>6</v>
      </c>
      <c r="G1236" t="str">
        <f ca="1">IF(G1235="","",INDEX(D1236:D1237,MATCH(LARGE(E1236:E1237,1),E1236:E1237,0)))</f>
        <v>Megan</v>
      </c>
    </row>
    <row r="1237" spans="1:12" x14ac:dyDescent="0.25">
      <c r="A1237" t="str">
        <f t="shared" ca="1" si="193"/>
        <v>Megan</v>
      </c>
      <c r="B1237" t="str">
        <f t="shared" ca="1" si="194"/>
        <v/>
      </c>
      <c r="D1237" t="str">
        <f ca="1">H1223</f>
        <v>Matt</v>
      </c>
      <c r="E1237">
        <f ca="1">COUNTIF(H1227:H1233,D1237)</f>
        <v>1</v>
      </c>
      <c r="G1237" t="str">
        <f ca="1">IF(G1236="","","You have been evicted from the Big Brother House")</f>
        <v>You have been evicted from the Big Brother House</v>
      </c>
    </row>
    <row r="1238" spans="1:12" x14ac:dyDescent="0.25">
      <c r="A1238" t="str">
        <f t="shared" ca="1" si="193"/>
        <v>Raven</v>
      </c>
      <c r="B1238">
        <f ca="1">IF(A1238="","",IF(COUNTIF($F$1223:$H$1223,A1238)=1,"",RAND()))</f>
        <v>0.46767853886770716</v>
      </c>
    </row>
    <row r="1239" spans="1:12" x14ac:dyDescent="0.25">
      <c r="G1239" s="2" t="s">
        <v>186</v>
      </c>
    </row>
    <row r="1240" spans="1:12" x14ac:dyDescent="0.25">
      <c r="A1240" t="str">
        <f ca="1">IF(A1164=G1236,A1165,A1164)</f>
        <v>Alex</v>
      </c>
      <c r="G1240" s="16" t="str">
        <f ca="1">A1240</f>
        <v>Alex</v>
      </c>
      <c r="H1240" s="16" t="str">
        <f ca="1">A1241</f>
        <v>Cameron</v>
      </c>
      <c r="I1240" s="16" t="str">
        <f ca="1">A1242</f>
        <v>Christmas</v>
      </c>
      <c r="J1240" s="16" t="str">
        <f ca="1">A1243</f>
        <v>Cody</v>
      </c>
      <c r="K1240" s="16" t="str">
        <f ca="1">A1244</f>
        <v>Jason</v>
      </c>
      <c r="L1240" s="10"/>
    </row>
    <row r="1241" spans="1:12" x14ac:dyDescent="0.25">
      <c r="A1241" t="str">
        <f t="shared" ref="A1241:A1248" ca="1" si="195">IF(A1240=A1165,A1166,IF(A1165=$G$1236,A1166,A1165))</f>
        <v>Cameron</v>
      </c>
      <c r="B1241" t="str">
        <f ca="1">B1164</f>
        <v>Raven</v>
      </c>
      <c r="C1241" t="str">
        <f ca="1">C1164</f>
        <v>Josh</v>
      </c>
      <c r="D1241" t="str">
        <f ca="1">D1164</f>
        <v>Ramses</v>
      </c>
      <c r="E1241" t="str">
        <f ca="1">E1164</f>
        <v>Cody</v>
      </c>
      <c r="F1241" t="str">
        <f ca="1">F1164</f>
        <v>Josh</v>
      </c>
      <c r="G1241" s="24" t="str">
        <f ca="1">IF(COUNTIF(B1241:F1242,G1240)=0,"","HOH - "&amp;COUNTIF(B1241:F1242,G1240))</f>
        <v/>
      </c>
      <c r="H1241" s="24" t="str">
        <f ca="1">IF(COUNTIF($B$1241:$F$1242,H1240)=0,"","HOH - "&amp;COUNTIF($B$1241:$F$1242,H1240))</f>
        <v/>
      </c>
      <c r="I1241" s="24" t="str">
        <f ca="1">IF(COUNTIF($B$1241:$F$1242,I1240)=0,"","HOH - "&amp;COUNTIF($B$1241:$F$1242,I1240))</f>
        <v>HOH - 1</v>
      </c>
      <c r="J1241" s="24" t="str">
        <f ca="1">IF(COUNTIF($B$1241:$F$1242,J1240)=0,"","HOH - "&amp;COUNTIF($B$1241:$F$1242,J1240))</f>
        <v>HOH - 1</v>
      </c>
      <c r="K1241" s="24" t="str">
        <f ca="1">IF(COUNTIF($B$1241:$F$1242,K1240)=0,"","HOH - "&amp;COUNTIF($B$1241:$F$1242,K1240))</f>
        <v/>
      </c>
      <c r="L1241" s="10"/>
    </row>
    <row r="1242" spans="1:12" x14ac:dyDescent="0.25">
      <c r="A1242" t="str">
        <f t="shared" ca="1" si="195"/>
        <v>Christmas</v>
      </c>
      <c r="B1242" t="str">
        <f t="shared" ref="B1242:C1244" ca="1" si="196">B1165</f>
        <v>Christmas</v>
      </c>
      <c r="C1242" t="str">
        <f t="shared" ca="1" si="196"/>
        <v>Raven</v>
      </c>
      <c r="D1242" t="str">
        <f ca="1">H1182</f>
        <v>Jessica</v>
      </c>
      <c r="G1242" s="24" t="str">
        <f ca="1">IF(COUNTIF(B1243:F1244,G1240)=0,"","POV - "&amp;COUNTIF(B1243:F1244,G1240))</f>
        <v/>
      </c>
      <c r="H1242" s="24" t="str">
        <f ca="1">IF(COUNTIF($B$1243:$F$1244,H1240)=0,"","POV - "&amp;COUNTIF($B$1243:$F$1244,H1240))</f>
        <v/>
      </c>
      <c r="I1242" s="24" t="str">
        <f ca="1">IF(COUNTIF($B$1243:$F$1244,I1240)=0,"","POV - "&amp;COUNTIF($B$1243:$F$1244,I1240))</f>
        <v>POV - 2</v>
      </c>
      <c r="J1242" s="24" t="str">
        <f ca="1">IF(COUNTIF($B$1243:$F$1244,J1240)=0,"","POV - "&amp;COUNTIF($B$1243:$F$1244,J1240))</f>
        <v>POV - 1</v>
      </c>
      <c r="K1242" s="24" t="str">
        <f ca="1">IF(COUNTIF($B$1243:$F$1244,K1240)=0,"","POV - "&amp;COUNTIF($B$1243:$F$1244,K1240))</f>
        <v/>
      </c>
      <c r="L1242" s="10"/>
    </row>
    <row r="1243" spans="1:12" x14ac:dyDescent="0.25">
      <c r="A1243" t="str">
        <f t="shared" ca="1" si="195"/>
        <v>Cody</v>
      </c>
      <c r="B1243" t="str">
        <f t="shared" ca="1" si="196"/>
        <v>Christmas</v>
      </c>
      <c r="C1243" t="str">
        <f t="shared" ca="1" si="196"/>
        <v>Christmas</v>
      </c>
      <c r="D1243" t="str">
        <f ca="1">D1166</f>
        <v>Elena</v>
      </c>
      <c r="E1243" t="str">
        <f ca="1">E1166</f>
        <v>Megan</v>
      </c>
      <c r="F1243" t="str">
        <f ca="1">F1166</f>
        <v>Raven</v>
      </c>
      <c r="G1243" s="16" t="str">
        <f ca="1">A1245</f>
        <v>Jessica</v>
      </c>
      <c r="H1243" s="16" t="str">
        <f ca="1">A1246</f>
        <v>Mark</v>
      </c>
      <c r="I1243" s="16" t="str">
        <f ca="1">A1247</f>
        <v>Matt</v>
      </c>
      <c r="J1243" s="16" t="str">
        <f ca="1">A1248</f>
        <v>Raven</v>
      </c>
      <c r="K1243" s="19" t="str">
        <f ca="1">IF(G1236="",G1152,G1236)</f>
        <v>Megan</v>
      </c>
      <c r="L1243" s="19" t="str">
        <f ca="1">L1164</f>
        <v>Jillian</v>
      </c>
    </row>
    <row r="1244" spans="1:12" x14ac:dyDescent="0.25">
      <c r="A1244" t="str">
        <f t="shared" ca="1" si="195"/>
        <v>Jason</v>
      </c>
      <c r="B1244" t="str">
        <f t="shared" ca="1" si="196"/>
        <v>Cody</v>
      </c>
      <c r="C1244" t="str">
        <f t="shared" ca="1" si="196"/>
        <v>Megan</v>
      </c>
      <c r="D1244" t="str">
        <f ca="1">H1210</f>
        <v>Mark</v>
      </c>
      <c r="G1244" s="24" t="str">
        <f t="shared" ref="G1244:L1244" ca="1" si="197">IF(COUNTIF($B$1241:$F$1242,G1243)=0,"","HOH - "&amp;COUNTIF($B$1241:$F$1242,G1243))</f>
        <v>HOH - 1</v>
      </c>
      <c r="H1244" s="24" t="str">
        <f t="shared" ca="1" si="197"/>
        <v/>
      </c>
      <c r="I1244" s="24" t="str">
        <f t="shared" ca="1" si="197"/>
        <v/>
      </c>
      <c r="J1244" s="24" t="str">
        <f t="shared" ca="1" si="197"/>
        <v>HOH - 2</v>
      </c>
      <c r="K1244" s="31" t="str">
        <f t="shared" ca="1" si="197"/>
        <v/>
      </c>
      <c r="L1244" s="31" t="str">
        <f t="shared" ca="1" si="197"/>
        <v/>
      </c>
    </row>
    <row r="1245" spans="1:12" x14ac:dyDescent="0.25">
      <c r="A1245" t="str">
        <f t="shared" ca="1" si="195"/>
        <v>Jessica</v>
      </c>
      <c r="G1245" s="24" t="str">
        <f t="shared" ref="G1245:L1245" ca="1" si="198">IF(COUNTIF($B$1243:$F$1244,G1243)=0,"","POV - "&amp;COUNTIF($B$1243:$F$1244,G1243))</f>
        <v/>
      </c>
      <c r="H1245" s="24" t="str">
        <f t="shared" ca="1" si="198"/>
        <v>POV - 1</v>
      </c>
      <c r="I1245" s="24" t="str">
        <f t="shared" ca="1" si="198"/>
        <v/>
      </c>
      <c r="J1245" s="24" t="str">
        <f t="shared" ca="1" si="198"/>
        <v>POV - 1</v>
      </c>
      <c r="K1245" s="31" t="str">
        <f t="shared" ca="1" si="198"/>
        <v>POV - 2</v>
      </c>
      <c r="L1245" s="31" t="str">
        <f t="shared" ca="1" si="198"/>
        <v/>
      </c>
    </row>
    <row r="1246" spans="1:12" x14ac:dyDescent="0.25">
      <c r="A1246" t="str">
        <f t="shared" ca="1" si="195"/>
        <v>Mark</v>
      </c>
      <c r="G1246" s="19" t="str">
        <f t="shared" ref="G1246:L1246" ca="1" si="199">G1167</f>
        <v>Josh</v>
      </c>
      <c r="H1246" s="19" t="str">
        <f t="shared" ca="1" si="199"/>
        <v>Elena</v>
      </c>
      <c r="I1246" s="19" t="str">
        <f t="shared" ca="1" si="199"/>
        <v>Ramses</v>
      </c>
      <c r="J1246" s="19" t="str">
        <f t="shared" ca="1" si="199"/>
        <v>Paul</v>
      </c>
      <c r="K1246" s="30" t="str">
        <f t="shared" ca="1" si="199"/>
        <v>Kevin</v>
      </c>
      <c r="L1246" s="19" t="str">
        <f t="shared" ca="1" si="199"/>
        <v>Dominique</v>
      </c>
    </row>
    <row r="1247" spans="1:12" x14ac:dyDescent="0.25">
      <c r="A1247" t="str">
        <f t="shared" ca="1" si="195"/>
        <v>Matt</v>
      </c>
      <c r="G1247" s="31" t="str">
        <f t="shared" ref="G1247:L1247" ca="1" si="200">IF(COUNTIF($B$1241:$F$1242,G1246)=0,"","HOH - "&amp;COUNTIF($B$1241:$F$1242,G1246))</f>
        <v>HOH - 2</v>
      </c>
      <c r="H1247" s="31" t="str">
        <f t="shared" ca="1" si="200"/>
        <v/>
      </c>
      <c r="I1247" s="31" t="str">
        <f t="shared" ca="1" si="200"/>
        <v>HOH - 1</v>
      </c>
      <c r="J1247" s="31" t="str">
        <f t="shared" ca="1" si="200"/>
        <v/>
      </c>
      <c r="K1247" s="32" t="str">
        <f t="shared" ca="1" si="200"/>
        <v/>
      </c>
      <c r="L1247" s="31" t="str">
        <f t="shared" ca="1" si="200"/>
        <v/>
      </c>
    </row>
    <row r="1248" spans="1:12" x14ac:dyDescent="0.25">
      <c r="A1248" t="str">
        <f t="shared" ca="1" si="195"/>
        <v>Raven</v>
      </c>
      <c r="G1248" s="33" t="str">
        <f t="shared" ref="G1248:L1248" ca="1" si="201">IF(COUNTIF($B$1243:$F$1244,G1246)=0,"","POV - "&amp;COUNTIF($B$1243:$F$1244,G1246))</f>
        <v/>
      </c>
      <c r="H1248" s="33" t="str">
        <f t="shared" ca="1" si="201"/>
        <v>POV - 1</v>
      </c>
      <c r="I1248" s="33" t="str">
        <f t="shared" ca="1" si="201"/>
        <v/>
      </c>
      <c r="J1248" s="33" t="str">
        <f t="shared" ca="1" si="201"/>
        <v/>
      </c>
      <c r="K1248" s="34" t="str">
        <f t="shared" ca="1" si="201"/>
        <v/>
      </c>
      <c r="L1248" s="33" t="str">
        <f t="shared" ca="1" si="201"/>
        <v/>
      </c>
    </row>
    <row r="1250" spans="1:8" x14ac:dyDescent="0.25">
      <c r="G1250" s="2" t="s">
        <v>65</v>
      </c>
    </row>
    <row r="1251" spans="1:8" x14ac:dyDescent="0.25">
      <c r="G1251" t="s">
        <v>130</v>
      </c>
      <c r="H1251" t="str">
        <f ca="1">H1182</f>
        <v>Jessica</v>
      </c>
    </row>
    <row r="1252" spans="1:8" x14ac:dyDescent="0.25">
      <c r="A1252" t="str">
        <f ca="1">IF(A1240=H1251,A1241,A1240)</f>
        <v>Alex</v>
      </c>
      <c r="B1252">
        <f t="shared" ref="B1252:B1259" ca="1" si="202">RAND()</f>
        <v>0.65452678033174072</v>
      </c>
    </row>
    <row r="1253" spans="1:8" x14ac:dyDescent="0.25">
      <c r="A1253" t="str">
        <f t="shared" ref="A1253:A1259" ca="1" si="203">IF(A1252=A1241,A1242,IF(A1241=$H$1251,A1242,A1241))</f>
        <v>Cameron</v>
      </c>
      <c r="B1253">
        <f t="shared" ca="1" si="202"/>
        <v>0.29587325389758701</v>
      </c>
      <c r="G1253" t="s">
        <v>46</v>
      </c>
      <c r="H1253" t="str">
        <f ca="1">INDEX(A1252:A1260,MATCH(LARGE(B1252:B1260,8),B1252:B1260,0))</f>
        <v>Raven</v>
      </c>
    </row>
    <row r="1254" spans="1:8" x14ac:dyDescent="0.25">
      <c r="A1254" t="str">
        <f t="shared" ca="1" si="203"/>
        <v>Christmas</v>
      </c>
      <c r="B1254">
        <f t="shared" ca="1" si="202"/>
        <v>0.5960237262157756</v>
      </c>
      <c r="G1254" t="s">
        <v>47</v>
      </c>
      <c r="H1254" t="str">
        <f ca="1">INDEX(A1252:A1260,MATCH(LARGE(B1252:B1260,7),B1252:B1260,0))</f>
        <v>Matt</v>
      </c>
    </row>
    <row r="1255" spans="1:8" x14ac:dyDescent="0.25">
      <c r="A1255" t="str">
        <f t="shared" ca="1" si="203"/>
        <v>Cody</v>
      </c>
      <c r="B1255">
        <f t="shared" ca="1" si="202"/>
        <v>0.5148929378571192</v>
      </c>
      <c r="G1255" t="s">
        <v>48</v>
      </c>
      <c r="H1255" t="str">
        <f ca="1">INDEX(A1252:A1260,MATCH(LARGE(B1252:B1260,6),B1252:B1260,0))</f>
        <v>Mark</v>
      </c>
    </row>
    <row r="1256" spans="1:8" x14ac:dyDescent="0.25">
      <c r="A1256" t="str">
        <f t="shared" ca="1" si="203"/>
        <v>Jason</v>
      </c>
      <c r="B1256">
        <f t="shared" ca="1" si="202"/>
        <v>0.93820590647382662</v>
      </c>
      <c r="G1256" t="s">
        <v>49</v>
      </c>
      <c r="H1256" t="str">
        <f ca="1">INDEX(A1252:A1260,MATCH(LARGE(B1252:B1260,5),B1252:B1260,0))</f>
        <v>Cameron</v>
      </c>
    </row>
    <row r="1257" spans="1:8" x14ac:dyDescent="0.25">
      <c r="A1257" t="str">
        <f t="shared" ca="1" si="203"/>
        <v>Mark</v>
      </c>
      <c r="B1257">
        <f t="shared" ca="1" si="202"/>
        <v>0.19625993179695</v>
      </c>
      <c r="G1257" t="s">
        <v>50</v>
      </c>
      <c r="H1257" t="str">
        <f ca="1">INDEX(A1252:A1260,MATCH(LARGE(B1252:B1260,4),B1252:B1260,0))</f>
        <v>Cody</v>
      </c>
    </row>
    <row r="1258" spans="1:8" x14ac:dyDescent="0.25">
      <c r="A1258" t="str">
        <f t="shared" ca="1" si="203"/>
        <v>Matt</v>
      </c>
      <c r="B1258">
        <f t="shared" ca="1" si="202"/>
        <v>9.5008174796841982E-2</v>
      </c>
      <c r="G1258" t="s">
        <v>52</v>
      </c>
      <c r="H1258" t="str">
        <f ca="1">INDEX(A1252:A1260,MATCH(LARGE(B1252:B1260,3),B1252:B1260,0))</f>
        <v>Christmas</v>
      </c>
    </row>
    <row r="1259" spans="1:8" x14ac:dyDescent="0.25">
      <c r="A1259" t="str">
        <f t="shared" ca="1" si="203"/>
        <v>Raven</v>
      </c>
      <c r="B1259">
        <f t="shared" ca="1" si="202"/>
        <v>2.2165071665675051E-2</v>
      </c>
      <c r="G1259" t="s">
        <v>53</v>
      </c>
      <c r="H1259" t="str">
        <f ca="1">INDEX(A1252:A1260,MATCH(LARGE(B1252:B1260,2),B1252:B1260,0))</f>
        <v>Alex</v>
      </c>
    </row>
    <row r="1260" spans="1:8" x14ac:dyDescent="0.25">
      <c r="G1260" t="s">
        <v>54</v>
      </c>
      <c r="H1260" t="str">
        <f ca="1">INDEX(A1252:A1260,MATCH(LARGE(B1252:B1260,1),B1252:B1260,0))</f>
        <v>Jason</v>
      </c>
    </row>
    <row r="1261" spans="1:8" x14ac:dyDescent="0.25">
      <c r="G1261" t="str">
        <f ca="1">"Congratulations, "&amp;H1260</f>
        <v>Congratulations, Jason</v>
      </c>
    </row>
    <row r="1262" spans="1:8" x14ac:dyDescent="0.25">
      <c r="F1262">
        <f ca="1">F1069</f>
        <v>2</v>
      </c>
    </row>
    <row r="1263" spans="1:8" x14ac:dyDescent="0.25">
      <c r="F1263" t="str">
        <f ca="1">G1236</f>
        <v>Megan</v>
      </c>
      <c r="G1263" s="2" t="s">
        <v>85</v>
      </c>
    </row>
    <row r="1264" spans="1:8" x14ac:dyDescent="0.25">
      <c r="F1264" t="str">
        <f ca="1">H1260</f>
        <v>Jason</v>
      </c>
      <c r="G1264" s="1" t="str">
        <f ca="1">H1260&amp;" must select "&amp;E1269&amp;" have not"&amp;IF(E1269=1,"","s")&amp;" for the week"</f>
        <v>Jason must select 1 have not for the week</v>
      </c>
    </row>
    <row r="1265" spans="1:7" x14ac:dyDescent="0.25">
      <c r="B1265" s="4">
        <f>$D$374</f>
        <v>50</v>
      </c>
      <c r="C1265">
        <f ca="1">E1269</f>
        <v>1</v>
      </c>
      <c r="G1265" s="1" t="str">
        <f ca="1">IF(F1268="","",F1268&amp;" is a have not for selecting the wrong box last week")</f>
        <v>Jason is a have not for selecting the wrong box last week</v>
      </c>
    </row>
    <row r="1266" spans="1:7" x14ac:dyDescent="0.25">
      <c r="C1266" t="str">
        <f ca="1">C1056</f>
        <v>Jessica</v>
      </c>
      <c r="G1266" s="1" t="s">
        <v>136</v>
      </c>
    </row>
    <row r="1267" spans="1:7" x14ac:dyDescent="0.25">
      <c r="C1267" t="str">
        <f ca="1">F1268</f>
        <v>Jason</v>
      </c>
      <c r="G1267" s="1" t="str">
        <f ca="1">IF(F1268="",F1269&amp;" and "&amp;F1270,F1268&amp;" and "&amp;F1269)</f>
        <v>Jason and Christmas</v>
      </c>
    </row>
    <row r="1268" spans="1:7" x14ac:dyDescent="0.25">
      <c r="A1268" t="str">
        <f ca="1">INDEX(Sheet4!B388:R388,MATCH(SMALL(Sheet4!B389:R389,1),Sheet4!B389:R389,0))</f>
        <v>Cameron</v>
      </c>
      <c r="B1268">
        <f ca="1">IF($I$26="On",SMALL(Sheet4!B389:R389,1),RAND())</f>
        <v>15.394165717913744</v>
      </c>
      <c r="C1268">
        <f ca="1">IF(COUNTIF(C1266:C1267,A1268)&gt;=1,"",RAND())</f>
        <v>0.71575781597073207</v>
      </c>
      <c r="D1268">
        <f ca="1">IF(C1268="","",0.5)</f>
        <v>0.5</v>
      </c>
      <c r="E1268" s="1"/>
      <c r="F1268" t="str">
        <f ca="1">IF(E1269=1,F1068,"")</f>
        <v>Jason</v>
      </c>
    </row>
    <row r="1269" spans="1:7" x14ac:dyDescent="0.25">
      <c r="A1269" t="str">
        <f ca="1">INDEX(Sheet4!B388:R388,MATCH(SMALL(Sheet4!B389:R389,2),Sheet4!B389:R389,0))</f>
        <v>Christmas</v>
      </c>
      <c r="B1269">
        <f ca="1">IF($I$26="On",SMALL(Sheet4!B389:R389,2),RAND())</f>
        <v>22.004949710265894</v>
      </c>
      <c r="C1269">
        <f ca="1">IF(COUNTIF(C1266:C1267,A1269)&gt;=1,"",IF($I$26="On",IF(IF(D1268="",0.5,D1268+1)&lt;=C1265,RAND(),IF(B1269&gt;=B1265,"",RAND())),RAND()))</f>
        <v>0.52452926905871511</v>
      </c>
      <c r="D1269">
        <f ca="1">IF(C1269="","",IF(D1268="",0.5,SMALL(D1268,1)+1))</f>
        <v>1.5</v>
      </c>
      <c r="E1269" s="4">
        <f ca="1">IF(F1262=1,2,IF(COUNTIF(F1263:F1265,F1261)=1,2,1))</f>
        <v>1</v>
      </c>
      <c r="F1269" t="str">
        <f ca="1">INDEX(A1268:A1282,MATCH(SMALL(C1268:C1280,1),C1268:C1280,0))</f>
        <v>Christmas</v>
      </c>
      <c r="G1269" s="2" t="s">
        <v>187</v>
      </c>
    </row>
    <row r="1270" spans="1:7" x14ac:dyDescent="0.25">
      <c r="A1270" t="str">
        <f ca="1">INDEX(Sheet4!B388:R388,MATCH(SMALL(Sheet4!B389:R389,3),Sheet4!B389:R389,0))</f>
        <v>Raven</v>
      </c>
      <c r="B1270">
        <f ca="1">IF($I$26="On",SMALL(Sheet4!B389:R389,3),RAND())</f>
        <v>26.449699295094824</v>
      </c>
      <c r="C1270">
        <f ca="1">IF(COUNTIF(C1266:C1267,A1270)&gt;=1,"",IF($I$26="On",IF(IF(COUNTIF(D1268:D1269,"")=2,0.5,LARGE(D1268:D1269,1)+1)&lt;=C1265,RAND(),IF(B1270&gt;=B1265,"",RAND())),RAND()))</f>
        <v>0.59799873338461751</v>
      </c>
      <c r="D1270">
        <f ca="1">IF(C1270="","",IF(COUNTIF(D1268:D1269,"")=2,0.5,LARGE(D1268:D1269,1)+1))</f>
        <v>2.5</v>
      </c>
      <c r="F1270" t="str">
        <f ca="1">IF(E1269=1,"",INDEX(A1268:A1282,MATCH(SMALL(C1268:C1280,2),C1268:C1280,0)))</f>
        <v/>
      </c>
      <c r="G1270" t="s">
        <v>188</v>
      </c>
    </row>
    <row r="1271" spans="1:7" x14ac:dyDescent="0.25">
      <c r="A1271" t="str">
        <f ca="1">INDEX(Sheet4!B388:R388,MATCH(SMALL(Sheet4!B389:R389,4),Sheet4!B389:R389,0))</f>
        <v>Cody</v>
      </c>
      <c r="B1271">
        <f ca="1">IF($I$26="On",SMALL(Sheet4!B389:R389,4),RAND())</f>
        <v>41.238479804029616</v>
      </c>
      <c r="C1271">
        <f ca="1">IF(COUNTIF($C$1266:$C$1267,A1271)&gt;=1,"",IF($I$26="On",IF(B1271&gt;=$B$1265,"",RAND()),RAND()))</f>
        <v>0.68776923816257729</v>
      </c>
      <c r="G1271" t="s">
        <v>189</v>
      </c>
    </row>
    <row r="1272" spans="1:7" x14ac:dyDescent="0.25">
      <c r="A1272" t="str">
        <f ca="1">INDEX(Sheet4!B388:R388,MATCH(SMALL(Sheet4!B389:R389,5),Sheet4!B389:R389,0))</f>
        <v>Mark</v>
      </c>
      <c r="B1272">
        <f ca="1">IF($I$26="On",SMALL(Sheet4!B389:R389,5),RAND())</f>
        <v>45.249910546888039</v>
      </c>
      <c r="C1272">
        <f ca="1">IF(COUNTIF($C$1266:$C$1267,A1272)&gt;=1,"",IF($I$26="On",IF(B1272&gt;=$B$1265,"",RAND()),RAND()))</f>
        <v>0.5534780632019245</v>
      </c>
      <c r="G1272" t="s">
        <v>190</v>
      </c>
    </row>
    <row r="1273" spans="1:7" x14ac:dyDescent="0.25">
      <c r="A1273" t="str">
        <f ca="1">INDEX(Sheet4!B388:R388,MATCH(SMALL(Sheet4!B389:R389,6),Sheet4!B389:R389,0))</f>
        <v>Jessica</v>
      </c>
      <c r="B1273">
        <f ca="1">IF($I$26="On",SMALL(Sheet4!B389:R389,6),RAND())</f>
        <v>51.265613737767033</v>
      </c>
      <c r="C1273" t="str">
        <f ca="1">IF(COUNTIF($C$1266:$C$1267,A1273)&gt;=1,"",IF($I$26="On",IF(B1273&gt;=$B$1265,"",RAND()),RAND()))</f>
        <v/>
      </c>
      <c r="G1273" t="s">
        <v>191</v>
      </c>
    </row>
    <row r="1274" spans="1:7" x14ac:dyDescent="0.25">
      <c r="A1274" t="str">
        <f ca="1">INDEX(Sheet4!B388:R388,MATCH(SMALL(Sheet4!B389:R389,7),Sheet4!B389:R389,0))</f>
        <v>Alex</v>
      </c>
      <c r="B1274">
        <f ca="1">IF($I$26="On",SMALL(Sheet4!B389:R389,7),RAND())</f>
        <v>62.423641384313534</v>
      </c>
      <c r="C1274" t="str">
        <f ca="1">IF(COUNTIF($C$1266:$C$1267,A1274)&gt;=1,"",IF($I$26="On",IF(B1274&gt;=$B$1265,"",RAND()),RAND()))</f>
        <v/>
      </c>
      <c r="G1274" t="s">
        <v>198</v>
      </c>
    </row>
    <row r="1275" spans="1:7" x14ac:dyDescent="0.25">
      <c r="A1275" t="str">
        <f ca="1">INDEX(Sheet4!B388:R388,MATCH(SMALL(Sheet4!B389:R389,8),Sheet4!B389:R389,0))</f>
        <v>Matt</v>
      </c>
      <c r="B1275">
        <f ca="1">IF($I$26="On",SMALL(Sheet4!B389:R389,8),RAND())</f>
        <v>84.449421673651997</v>
      </c>
      <c r="C1275" t="str">
        <f ca="1">IF(COUNTIF($C$1266:$C$1267,A1275)&gt;=1,"",IF($I$26="On",IF(B1275&gt;=$B$1265,"",RAND()),RAND()))</f>
        <v/>
      </c>
      <c r="G1275" t="s">
        <v>214</v>
      </c>
    </row>
    <row r="1276" spans="1:7" x14ac:dyDescent="0.25">
      <c r="G1276" t="str">
        <f>IF(Popularity!F15="No","A HOH may not draw an apple","")</f>
        <v>A HOH may not draw an apple</v>
      </c>
    </row>
    <row r="1277" spans="1:7" x14ac:dyDescent="0.25">
      <c r="G1277" t="s">
        <v>192</v>
      </c>
    </row>
    <row r="1278" spans="1:7" x14ac:dyDescent="0.25">
      <c r="D1278" t="str">
        <f>G1278</f>
        <v>Save A Friend</v>
      </c>
      <c r="E1278">
        <f ca="1">RAND()</f>
        <v>0.76074357938688519</v>
      </c>
      <c r="G1278" t="s">
        <v>193</v>
      </c>
    </row>
    <row r="1279" spans="1:7" x14ac:dyDescent="0.25">
      <c r="D1279" t="str">
        <f>G1279</f>
        <v>Can't Play In Next HOH</v>
      </c>
      <c r="E1279">
        <f ca="1">RAND()</f>
        <v>0.51439137243376976</v>
      </c>
      <c r="G1279" t="s">
        <v>194</v>
      </c>
    </row>
    <row r="1280" spans="1:7" x14ac:dyDescent="0.25">
      <c r="D1280" t="str">
        <f>G1280</f>
        <v>Eliminate 2 Eviction Votes</v>
      </c>
      <c r="E1280">
        <f ca="1">RAND()</f>
        <v>0.58280451779505194</v>
      </c>
      <c r="G1280" t="s">
        <v>195</v>
      </c>
    </row>
    <row r="1281" spans="2:7" x14ac:dyDescent="0.25">
      <c r="B1281" t="str">
        <f ca="1">H1251</f>
        <v>Jessica</v>
      </c>
      <c r="C1281">
        <f ca="1">RAND()</f>
        <v>0.43767729939912947</v>
      </c>
      <c r="D1281" t="str">
        <f>G1281</f>
        <v>Bounty On Your Head ($5000 to HOH that gets you out)</v>
      </c>
      <c r="E1281">
        <f ca="1">RAND()</f>
        <v>0.55447010846019873</v>
      </c>
      <c r="G1281" t="s">
        <v>196</v>
      </c>
    </row>
    <row r="1282" spans="2:7" x14ac:dyDescent="0.25">
      <c r="B1282" t="str">
        <f t="shared" ref="B1282:B1288" ca="1" si="204">H1253</f>
        <v>Raven</v>
      </c>
      <c r="C1282">
        <f t="shared" ref="C1282:C1288" ca="1" si="205">RAND()</f>
        <v>0.61407082783919598</v>
      </c>
      <c r="D1282" t="str">
        <f>G1282</f>
        <v>Second Veto</v>
      </c>
      <c r="E1282">
        <f ca="1">RAND()</f>
        <v>0.93512316557270725</v>
      </c>
      <c r="G1282" t="s">
        <v>197</v>
      </c>
    </row>
    <row r="1283" spans="2:7" x14ac:dyDescent="0.25">
      <c r="B1283" t="str">
        <f t="shared" ca="1" si="204"/>
        <v>Matt</v>
      </c>
      <c r="C1283">
        <f t="shared" ca="1" si="205"/>
        <v>0.87678909554508633</v>
      </c>
    </row>
    <row r="1284" spans="2:7" x14ac:dyDescent="0.25">
      <c r="B1284" t="str">
        <f t="shared" ca="1" si="204"/>
        <v>Mark</v>
      </c>
      <c r="C1284">
        <f t="shared" ca="1" si="205"/>
        <v>0.74493862640666375</v>
      </c>
      <c r="D1284" t="str">
        <f>Popularity!F11</f>
        <v>Set Amount (Enter Amount)</v>
      </c>
      <c r="G1284" t="s">
        <v>199</v>
      </c>
    </row>
    <row r="1285" spans="2:7" x14ac:dyDescent="0.25">
      <c r="B1285" t="str">
        <f t="shared" ca="1" si="204"/>
        <v>Cameron</v>
      </c>
      <c r="C1285">
        <f t="shared" ca="1" si="205"/>
        <v>0.85505201699607181</v>
      </c>
      <c r="D1285">
        <f>Popularity!F12</f>
        <v>100</v>
      </c>
      <c r="F1285" t="str">
        <f ca="1">IF(G1287=D1278,IF($I$26="On",INDEX(Sheet4!B391:R391,MATCH(LARGE(Sheet4!B392:R392,2),Sheet4!B392:R392,0)),IF(G1287=D1278,INDEX(B1281:B1289,MATCH(LARGE(C1281:C1289,2),C1281:C1289,0)),"")),"")</f>
        <v/>
      </c>
      <c r="G1285" t="str">
        <f ca="1">IF(D1289="","",D1289&amp;" claims the apple")</f>
        <v>Matt claims the apple</v>
      </c>
    </row>
    <row r="1286" spans="2:7" x14ac:dyDescent="0.25">
      <c r="B1286" t="str">
        <f t="shared" ca="1" si="204"/>
        <v>Cody</v>
      </c>
      <c r="C1286">
        <f t="shared" ca="1" si="205"/>
        <v>0.22266165427818596</v>
      </c>
      <c r="D1286">
        <f ca="1">IF($I$23="On",IF(D1284="Set Amount (Enter Amount)",IF(D1285&lt;=0,0,IF(D1285&gt;=100,1,D1285/100)),RAND()),RAND())</f>
        <v>1</v>
      </c>
      <c r="F1286" t="str">
        <f ca="1">IF(G1287=D1278,IF($I$26="On",INDEX(Sheet4!B391:R391,MATCH(LARGE(Sheet4!B392:R392,3),Sheet4!B392:R392,0)),IF(G1287=D1278,INDEX(B1281:B1289,MATCH(LARGE(C1281:C1289,3),C1281:C1289,0)),"")),"")</f>
        <v/>
      </c>
      <c r="G1286" t="str">
        <f ca="1">IF(G1285="","","The apple selected is…")</f>
        <v>The apple selected is…</v>
      </c>
    </row>
    <row r="1287" spans="2:7" x14ac:dyDescent="0.25">
      <c r="B1287" t="str">
        <f t="shared" ca="1" si="204"/>
        <v>Christmas</v>
      </c>
      <c r="C1287">
        <f t="shared" ca="1" si="205"/>
        <v>0.64589825609945617</v>
      </c>
      <c r="D1287">
        <f ca="1">RAND()</f>
        <v>0.92181020136880154</v>
      </c>
      <c r="F1287" t="str">
        <f ca="1">IF(F1285=H1260,F1286,F1285)</f>
        <v/>
      </c>
      <c r="G1287" t="str">
        <f ca="1">IF(G1285="","",INDEX(D1278:D1282,MATCH(LARGE(E1278:E1282,1),E1278:E1282,0)))</f>
        <v>Second Veto</v>
      </c>
    </row>
    <row r="1288" spans="2:7" x14ac:dyDescent="0.25">
      <c r="B1288" t="str">
        <f t="shared" ca="1" si="204"/>
        <v>Alex</v>
      </c>
      <c r="C1288">
        <f t="shared" ca="1" si="205"/>
        <v>0.25132783332930531</v>
      </c>
      <c r="D1288" t="str">
        <f ca="1">IF(D1287&lt;=D1286,"YES","NO")</f>
        <v>YES</v>
      </c>
      <c r="E1288" t="str">
        <f ca="1">H1260</f>
        <v>Jason</v>
      </c>
      <c r="F1288" t="str">
        <f ca="1">E1288</f>
        <v>Jason</v>
      </c>
    </row>
    <row r="1289" spans="2:7" x14ac:dyDescent="0.25">
      <c r="B1289" t="str">
        <f>IF(Popularity!F15="Yes",Game!H1260,"")</f>
        <v/>
      </c>
      <c r="C1289" t="str">
        <f ca="1">IF(B1289="","",RAND())</f>
        <v/>
      </c>
      <c r="D1289" t="str">
        <f ca="1">IF(D1288="YES",INDEX(B1281:B1289,MATCH(LARGE(C1281:C1289,1),C1281:C1289,0)),"")</f>
        <v>Matt</v>
      </c>
      <c r="E1289" t="str">
        <f ca="1">INDEX(A1268:A1275,MATCH(SMALL(B1268:B1275,1),B1268:B1275,0))</f>
        <v>Cameron</v>
      </c>
      <c r="F1289" t="str">
        <f ca="1">IF(E1289=F1285,E1290,E1289)</f>
        <v>Cameron</v>
      </c>
      <c r="G1289" t="str">
        <f ca="1">IF(G1287="","",IF(G1287=D1278,D1289&amp;" saves "&amp;F1287,IF(G1287=D1279,D1289&amp;" can't play the next HOH",IF(G1287=D1280,D1289&amp;" may eliminate 2 eviction votes",IF(G1287=D1281,"The HOH that evicts "&amp;D1289&amp;" will win $5,000","There will be 2 veto winners this week")))))</f>
        <v>There will be 2 veto winners this week</v>
      </c>
    </row>
    <row r="1290" spans="2:7" x14ac:dyDescent="0.25">
      <c r="E1290" t="str">
        <f ca="1">INDEX(A1268:A1275,MATCH(SMALL(B1268:B1275,2),B1268:B1275,0))</f>
        <v>Christmas</v>
      </c>
      <c r="F1290" t="str">
        <f ca="1">IF(F1289=E1290,E1291,IF(E1290=$F$1285,E1291,E1290))</f>
        <v>Christmas</v>
      </c>
    </row>
    <row r="1291" spans="2:7" x14ac:dyDescent="0.25">
      <c r="E1291" t="str">
        <f ca="1">INDEX(A1268:A1275,MATCH(SMALL(B1268:B1275,3),B1268:B1275,0))</f>
        <v>Raven</v>
      </c>
      <c r="F1291" t="str">
        <f ca="1">IF(F1290=E1291,E1292,IF(E1291=$F$1285,E1292,E1291))</f>
        <v>Raven</v>
      </c>
      <c r="G1291" s="2" t="s">
        <v>83</v>
      </c>
    </row>
    <row r="1292" spans="2:7" x14ac:dyDescent="0.25">
      <c r="E1292" t="str">
        <f ca="1">INDEX(A1268:A1275,MATCH(SMALL(B1268:B1275,4),B1268:B1275,0))</f>
        <v>Cody</v>
      </c>
      <c r="F1292" t="str">
        <f ca="1">IF(F1291=E1292,E1293,IF(E1292=$F$1285,E1293,E1292))</f>
        <v>Cody</v>
      </c>
      <c r="G1292" t="str">
        <f ca="1">"The first person "&amp;E1288&amp;" has nominated is…"</f>
        <v>The first person Jason has nominated is…</v>
      </c>
    </row>
    <row r="1293" spans="2:7" x14ac:dyDescent="0.25">
      <c r="E1293" t="str">
        <f ca="1">INDEX(A1268:A1275,MATCH(SMALL(B1268:B1275,5),B1268:B1275,0))</f>
        <v>Mark</v>
      </c>
      <c r="F1293" t="str">
        <f ca="1">IF(F1292=E1293,E1294,IF(E1293=$F$1285,E1294,E1293))</f>
        <v>Mark</v>
      </c>
      <c r="G1293" t="str">
        <f ca="1">F1289</f>
        <v>Cameron</v>
      </c>
    </row>
    <row r="1294" spans="2:7" x14ac:dyDescent="0.25">
      <c r="C1294">
        <f ca="1">COUNTIF(F1296:F1300,"&gt;="&amp;F1295)</f>
        <v>0</v>
      </c>
      <c r="D1294">
        <v>2</v>
      </c>
      <c r="E1294" t="str">
        <f ca="1">INDEX(A1268:A1275,MATCH(SMALL(B1268:B1275,6),B1268:B1275,0))</f>
        <v>Jessica</v>
      </c>
      <c r="F1294" t="str">
        <f ca="1">IF(F1293=E1294,E1295,IF(E1294=$F$1285,E1295,E1294))</f>
        <v>Jessica</v>
      </c>
      <c r="G1294" t="str">
        <f ca="1">"The second person "&amp;E1288&amp;" has nominated is…"</f>
        <v>The second person Jason has nominated is…</v>
      </c>
    </row>
    <row r="1295" spans="2:7" x14ac:dyDescent="0.25">
      <c r="D1295">
        <f ca="1">IF(D1294=2,IF(C1294=2,3.5,C1294+0.5),C1294+0.5)</f>
        <v>0.5</v>
      </c>
      <c r="E1295" t="str">
        <f ca="1">INDEX(A1268:A1275,MATCH(SMALL(B1268:B1275,7),B1268:B1275,0))</f>
        <v>Alex</v>
      </c>
      <c r="F1295">
        <f>Sheet4!$A$66</f>
        <v>65</v>
      </c>
      <c r="G1295" t="str">
        <f ca="1">F1290</f>
        <v>Christmas</v>
      </c>
    </row>
    <row r="1296" spans="2:7" x14ac:dyDescent="0.25">
      <c r="D1296" s="1" t="str">
        <f ca="1">$G$387</f>
        <v>Raven</v>
      </c>
      <c r="E1296" t="str">
        <f ca="1">F1289</f>
        <v>Cameron</v>
      </c>
      <c r="F1296">
        <f ca="1">INDEX($E$1041:$E$1054,MATCH(E1296,$D$1041:$D$1054,0))</f>
        <v>47.409368445659858</v>
      </c>
    </row>
    <row r="1297" spans="1:9" x14ac:dyDescent="0.25">
      <c r="E1297" t="str">
        <f ca="1">F1290</f>
        <v>Christmas</v>
      </c>
      <c r="F1297">
        <f ca="1">INDEX($E$1041:$E$1054,MATCH(E1297,$D$1041:$D$1054,0))</f>
        <v>49.206725336114673</v>
      </c>
      <c r="G1297" s="2" t="s">
        <v>105</v>
      </c>
    </row>
    <row r="1298" spans="1:9" x14ac:dyDescent="0.25">
      <c r="A1298" t="str">
        <f t="shared" ref="A1298:A1306" ca="1" si="206">A1240</f>
        <v>Alex</v>
      </c>
      <c r="B1298">
        <f t="shared" ref="B1298:B1306" ca="1" si="207">IF(COUNTIF($F$1288:$F$1290,A1298)=1,"",RAND())</f>
        <v>0.51823586874722527</v>
      </c>
      <c r="C1298">
        <f t="shared" ref="C1298:C1307" ca="1" si="208">IF(B1298="","",IF(COUNTIF($H$1298:$I$1298,A1298)=1,"",RAND()))</f>
        <v>2.8027494572831602E-2</v>
      </c>
      <c r="D1298">
        <f t="shared" ref="D1298:D1307" ca="1" si="209">IF(C1298="","",IF(COUNTIF($H$1299:$I$1299,A1298)=1,"",RAND()))</f>
        <v>0.70117587151367089</v>
      </c>
      <c r="E1298">
        <f t="shared" ref="E1298:E1306" ca="1" si="210">IF(COUNTIF($G$1307:$I$1308,A1298)=1,"",RAND())</f>
        <v>0.96427204561319269</v>
      </c>
      <c r="G1298" t="str">
        <f ca="1">H1260&amp;"-"</f>
        <v>Jason-</v>
      </c>
      <c r="H1298" s="29" t="str">
        <f ca="1">INDEX(A1298:A1307,MATCH(LARGE(B1298:B1307,1),B1298:B1307,0))</f>
        <v>Raven</v>
      </c>
      <c r="I1298" s="29" t="str">
        <f ca="1">IF(H1298="HGC",IF($I$26="On",INDEX(A1310:A1315,MATCH(LARGE(B1310:B1315,1),B1310:B1315,0)),INDEX(A1298:A1307,MATCH(LARGE(B1298:B1307,2),B1298:B1307,0))),"")</f>
        <v/>
      </c>
    </row>
    <row r="1299" spans="1:9" x14ac:dyDescent="0.25">
      <c r="A1299" t="str">
        <f t="shared" ca="1" si="206"/>
        <v>Cameron</v>
      </c>
      <c r="B1299" t="str">
        <f t="shared" ca="1" si="207"/>
        <v/>
      </c>
      <c r="C1299" t="str">
        <f t="shared" ca="1" si="208"/>
        <v/>
      </c>
      <c r="D1299" t="str">
        <f t="shared" ca="1" si="209"/>
        <v/>
      </c>
      <c r="E1299" t="str">
        <f t="shared" ca="1" si="210"/>
        <v/>
      </c>
      <c r="G1299" t="str">
        <f ca="1">G1293&amp;"-"</f>
        <v>Cameron-</v>
      </c>
      <c r="H1299" s="29" t="str">
        <f ca="1">INDEX(A1298:A1307,MATCH(LARGE(C1298:C1307,1),C1298:C1307,0))</f>
        <v>Jessica</v>
      </c>
      <c r="I1299" s="29" t="str">
        <f ca="1">IF(H1299="HGC",IF($I$26="On",INDEX(C1310:C1315,MATCH(LARGE(D1310:D1315,1),D1310:D1315,0)),INDEX(A1298:A1307,MATCH(LARGE(C1298:C1307,2),C1298:C1307,0))),"")</f>
        <v/>
      </c>
    </row>
    <row r="1300" spans="1:9" x14ac:dyDescent="0.25">
      <c r="A1300" t="str">
        <f t="shared" ca="1" si="206"/>
        <v>Christmas</v>
      </c>
      <c r="B1300" t="str">
        <f t="shared" ca="1" si="207"/>
        <v/>
      </c>
      <c r="C1300" t="str">
        <f t="shared" ca="1" si="208"/>
        <v/>
      </c>
      <c r="D1300" t="str">
        <f t="shared" ca="1" si="209"/>
        <v/>
      </c>
      <c r="E1300" t="str">
        <f t="shared" ca="1" si="210"/>
        <v/>
      </c>
      <c r="G1300" t="str">
        <f ca="1">G1295&amp;"-"</f>
        <v>Christmas-</v>
      </c>
      <c r="H1300" s="29" t="str">
        <f ca="1">INDEX(A1298:A1307,MATCH(LARGE(D1298:D1307,1),D1298:D1307,0))</f>
        <v>Cody</v>
      </c>
      <c r="I1300" s="29" t="str">
        <f ca="1">IF(H1300="HGC",IF($I$26="On",INDEX(E1310:E1316,MATCH(LARGE(F1310:F1316,1),F1310:F1316,0)),INDEX(A1298:A1307,MATCH(LARGE(D1298:D1307,2),D1298:D1307,0))),"")</f>
        <v/>
      </c>
    </row>
    <row r="1301" spans="1:9" x14ac:dyDescent="0.25">
      <c r="A1301" t="str">
        <f t="shared" ca="1" si="206"/>
        <v>Cody</v>
      </c>
      <c r="B1301">
        <f t="shared" ca="1" si="207"/>
        <v>0.71348931365780044</v>
      </c>
      <c r="C1301">
        <f t="shared" ca="1" si="208"/>
        <v>0.49506715987152639</v>
      </c>
      <c r="D1301">
        <f t="shared" ca="1" si="209"/>
        <v>0.94538618914986405</v>
      </c>
      <c r="E1301" t="str">
        <f t="shared" ca="1" si="210"/>
        <v/>
      </c>
    </row>
    <row r="1302" spans="1:9" x14ac:dyDescent="0.25">
      <c r="A1302" t="str">
        <f t="shared" ca="1" si="206"/>
        <v>Jason</v>
      </c>
      <c r="B1302" t="str">
        <f t="shared" ca="1" si="207"/>
        <v/>
      </c>
      <c r="C1302" t="str">
        <f t="shared" ca="1" si="208"/>
        <v/>
      </c>
      <c r="D1302" t="str">
        <f t="shared" ca="1" si="209"/>
        <v/>
      </c>
      <c r="E1302" t="str">
        <f t="shared" ca="1" si="210"/>
        <v/>
      </c>
      <c r="G1302" s="1" t="str">
        <f ca="1">IF(F1305="Yes",D1296&amp;" stands up and decides to use The Ring of Replacement","")</f>
        <v/>
      </c>
    </row>
    <row r="1303" spans="1:9" x14ac:dyDescent="0.25">
      <c r="A1303" t="str">
        <f t="shared" ca="1" si="206"/>
        <v>Jessica</v>
      </c>
      <c r="B1303">
        <f t="shared" ca="1" si="207"/>
        <v>2.1320140268359045E-2</v>
      </c>
      <c r="C1303">
        <f t="shared" ca="1" si="208"/>
        <v>0.58350931872577871</v>
      </c>
      <c r="D1303" t="str">
        <f t="shared" ca="1" si="209"/>
        <v/>
      </c>
      <c r="E1303" t="str">
        <f t="shared" ca="1" si="210"/>
        <v/>
      </c>
      <c r="G1303" s="1" t="str">
        <f ca="1">IF(G1302="","",D1296&amp;" uses it to replace…")</f>
        <v/>
      </c>
    </row>
    <row r="1304" spans="1:9" x14ac:dyDescent="0.25">
      <c r="A1304" t="str">
        <f t="shared" ca="1" si="206"/>
        <v>Mark</v>
      </c>
      <c r="B1304">
        <f t="shared" ca="1" si="207"/>
        <v>0.12957036995807958</v>
      </c>
      <c r="C1304">
        <f t="shared" ca="1" si="208"/>
        <v>0.3359049779879828</v>
      </c>
      <c r="D1304">
        <f t="shared" ca="1" si="209"/>
        <v>7.8255269825072138E-2</v>
      </c>
      <c r="E1304">
        <f t="shared" ca="1" si="210"/>
        <v>0.85111992173424578</v>
      </c>
      <c r="F1304" s="1" t="str">
        <f ca="1">IF(F1200="","",IF(G1196&lt;&gt;"","",IF(COUNTIF(G1236,D1296)=1,"",IF(COUNTIF(F1288:F1290,D1296)+COUNTIF(H1298:I1300,D1296)=1,"IN",IF($I$26="On",RANDBETWEEN(1,3),RANDBETWEEN(1,2))))))</f>
        <v/>
      </c>
      <c r="G1304" s="1" t="str">
        <f ca="1">IF(G1303="","",INDEX(A1317:A1319,MATCH(SMALL(B1317:B1319,1),B1317:B1319,0)))</f>
        <v/>
      </c>
    </row>
    <row r="1305" spans="1:9" x14ac:dyDescent="0.25">
      <c r="A1305" t="str">
        <f t="shared" ca="1" si="206"/>
        <v>Matt</v>
      </c>
      <c r="B1305">
        <f t="shared" ca="1" si="207"/>
        <v>0.81776716722407139</v>
      </c>
      <c r="C1305">
        <f t="shared" ca="1" si="208"/>
        <v>0.17523312956831871</v>
      </c>
      <c r="D1305">
        <f t="shared" ca="1" si="209"/>
        <v>0.3119082140423991</v>
      </c>
      <c r="E1305">
        <f t="shared" ca="1" si="210"/>
        <v>0.52165663616080182</v>
      </c>
      <c r="F1305" t="str">
        <f ca="1">IF(F1304="","",IF(F1304="IN","No",IF($I$26="On",IF(F1304&lt;=D1295,"Yes","No"),IF(F1304=1,"Yes","No"))))</f>
        <v/>
      </c>
    </row>
    <row r="1306" spans="1:9" x14ac:dyDescent="0.25">
      <c r="A1306" t="str">
        <f t="shared" ca="1" si="206"/>
        <v>Raven</v>
      </c>
      <c r="B1306">
        <f t="shared" ca="1" si="207"/>
        <v>0.84310769082399917</v>
      </c>
      <c r="C1306" t="str">
        <f t="shared" ca="1" si="208"/>
        <v/>
      </c>
      <c r="D1306" t="str">
        <f t="shared" ca="1" si="209"/>
        <v/>
      </c>
      <c r="E1306" t="str">
        <f t="shared" ca="1" si="210"/>
        <v/>
      </c>
      <c r="G1306" s="2" t="s">
        <v>106</v>
      </c>
    </row>
    <row r="1307" spans="1:9" x14ac:dyDescent="0.25">
      <c r="A1307" t="s">
        <v>89</v>
      </c>
      <c r="B1307">
        <f ca="1">RAND()</f>
        <v>3.022993374318439E-3</v>
      </c>
      <c r="C1307">
        <f t="shared" ca="1" si="208"/>
        <v>0.30060065427714311</v>
      </c>
      <c r="D1307">
        <f t="shared" ca="1" si="209"/>
        <v>0.3541535998899441</v>
      </c>
      <c r="G1307" s="29" t="str">
        <f ca="1">H1260</f>
        <v>Jason</v>
      </c>
      <c r="H1307" s="29" t="str">
        <f ca="1">G1293</f>
        <v>Cameron</v>
      </c>
      <c r="I1307" s="29" t="str">
        <f ca="1">G1295</f>
        <v>Christmas</v>
      </c>
    </row>
    <row r="1308" spans="1:9" x14ac:dyDescent="0.25">
      <c r="G1308" s="29" t="str">
        <f ca="1">IF(A1317=G1304,D1296,A1317)</f>
        <v>Raven</v>
      </c>
      <c r="H1308" s="29" t="str">
        <f ca="1">IF(A1318=G1304,D1296,A1318)</f>
        <v>Jessica</v>
      </c>
      <c r="I1308" s="29" t="str">
        <f ca="1">IF(A1319=G1304,D1296,A1319)</f>
        <v>Cody</v>
      </c>
    </row>
    <row r="1309" spans="1:9" x14ac:dyDescent="0.25">
      <c r="A1309" t="str">
        <f ca="1">F1288</f>
        <v>Jason</v>
      </c>
      <c r="C1309" t="str">
        <f ca="1">F1289</f>
        <v>Cameron</v>
      </c>
      <c r="E1309" t="str">
        <f ca="1">F1290</f>
        <v>Christmas</v>
      </c>
      <c r="G1309" t="s">
        <v>107</v>
      </c>
      <c r="H1309" t="str">
        <f ca="1">INDEX(A1298:A1307,MATCH(LARGE(E1298:E1307,1),E1298:E1307,0))</f>
        <v>Alex</v>
      </c>
    </row>
    <row r="1310" spans="1:9" x14ac:dyDescent="0.25">
      <c r="A1310" t="str">
        <f ca="1">INDEX($A1298:$A1306,MATCH(LARGE(B1298:B1306,1),B1298:B1306,0))</f>
        <v>Raven</v>
      </c>
      <c r="B1310">
        <f ca="1">INDEX(Sheet4!$B$2:$R$18,MATCH(Game!A1310,Sheet4!$A$2:$A$18,0),MATCH(Game!A$1309,Sheet4!$B$1:$R$1,0))</f>
        <v>26.449699295094824</v>
      </c>
      <c r="C1310" t="str">
        <f ca="1">INDEX($A1298:$A1306,MATCH(LARGE(C1298:C1306,1),C1298:C1306,0))</f>
        <v>Jessica</v>
      </c>
      <c r="D1310">
        <f ca="1">INDEX(Sheet4!$B$2:$R$18,MATCH(Game!C1310,Sheet4!$A$2:$A$18,0),MATCH(Game!C$1309,Sheet4!$B$1:$R$1,0))</f>
        <v>44.433469371378045</v>
      </c>
      <c r="E1310" t="str">
        <f ca="1">INDEX($A1298:$A1306,MATCH(LARGE(D1298:D1306,1),D1298:D1306,0))</f>
        <v>Cody</v>
      </c>
      <c r="F1310">
        <f ca="1">INDEX(Sheet4!$B$2:$R$18,MATCH(Game!E1310,Sheet4!$A$2:$A$18,0),MATCH(Game!E$1309,Sheet4!$B$1:$R$1,0))</f>
        <v>2.2850546326158266E-2</v>
      </c>
      <c r="G1310" t="str">
        <f ca="1">IF(G1287=G1282,"The top 2 will win veto!","")</f>
        <v>The top 2 will win veto!</v>
      </c>
    </row>
    <row r="1311" spans="1:9" x14ac:dyDescent="0.25">
      <c r="A1311" t="str">
        <f ca="1">INDEX($A1298:$A1306,MATCH(LARGE(B1298:B1306,2),B1298:B1306,0))</f>
        <v>Matt</v>
      </c>
      <c r="B1311">
        <f ca="1">INDEX(Sheet4!$B$2:$R$18,MATCH(Game!A1311,Sheet4!$A$2:$A$18,0),MATCH(Game!A$1309,Sheet4!$B$1:$R$1,0))</f>
        <v>84.449421673651997</v>
      </c>
      <c r="C1311" t="str">
        <f ca="1">INDEX($A1298:$A1306,MATCH(LARGE(C1298:C1306,2),C1298:C1306,0))</f>
        <v>Cody</v>
      </c>
      <c r="D1311">
        <f ca="1">INDEX(Sheet4!$B$2:$R$18,MATCH(Game!C1311,Sheet4!$A$2:$A$18,0),MATCH(Game!C$1309,Sheet4!$B$1:$R$1,0))</f>
        <v>69.289969172023191</v>
      </c>
      <c r="E1311" t="str">
        <f ca="1">INDEX($A1298:$A1306,MATCH(LARGE(D1298:D1306,2),D1298:D1306,0))</f>
        <v>Alex</v>
      </c>
      <c r="F1311">
        <f ca="1">INDEX(Sheet4!$B$2:$R$18,MATCH(Game!E1311,Sheet4!$A$2:$A$18,0),MATCH(Game!E$1309,Sheet4!$B$1:$R$1,0))</f>
        <v>39.09271954602108</v>
      </c>
    </row>
    <row r="1312" spans="1:9" x14ac:dyDescent="0.25">
      <c r="A1312" t="str">
        <f ca="1">INDEX($A1298:$A1306,MATCH(LARGE(B1298:B1306,3),B1298:B1306,0))</f>
        <v>Cody</v>
      </c>
      <c r="B1312">
        <f ca="1">INDEX(Sheet4!$B$2:$R$18,MATCH(Game!A1312,Sheet4!$A$2:$A$18,0),MATCH(Game!A$1309,Sheet4!$B$1:$R$1,0))</f>
        <v>41.238479804029616</v>
      </c>
      <c r="C1312" t="str">
        <f ca="1">INDEX($A1298:$A1306,MATCH(LARGE(C1298:C1306,3),C1298:C1306,0))</f>
        <v>Mark</v>
      </c>
      <c r="D1312">
        <f ca="1">INDEX(Sheet4!$B$2:$R$18,MATCH(Game!C1312,Sheet4!$A$2:$A$18,0),MATCH(Game!C$1309,Sheet4!$B$1:$R$1,0))</f>
        <v>17.366447548995119</v>
      </c>
      <c r="E1312" t="str">
        <f ca="1">INDEX($A1298:$A1306,MATCH(LARGE(D1298:D1306,3),D1298:D1306,0))</f>
        <v>Matt</v>
      </c>
      <c r="F1312">
        <f ca="1">INDEX(Sheet4!$B$2:$R$18,MATCH(Game!E1312,Sheet4!$A$2:$A$18,0),MATCH(Game!E$1309,Sheet4!$B$1:$R$1,0))</f>
        <v>85.372246819883017</v>
      </c>
      <c r="G1312" t="s">
        <v>48</v>
      </c>
      <c r="H1312" t="str">
        <f ca="1">INDEX(E1319:E1324,MATCH(SMALL(F1319:F1324,1),F1319:F1324,0))</f>
        <v>Cameron</v>
      </c>
    </row>
    <row r="1313" spans="1:8" x14ac:dyDescent="0.25">
      <c r="A1313" t="str">
        <f ca="1">INDEX($A1298:$A1306,MATCH(LARGE(B1298:B1306,4),B1298:B1306,0))</f>
        <v>Alex</v>
      </c>
      <c r="B1313">
        <f ca="1">INDEX(Sheet4!$B$2:$R$18,MATCH(Game!A1313,Sheet4!$A$2:$A$18,0),MATCH(Game!A$1309,Sheet4!$B$1:$R$1,0))</f>
        <v>62.423641384313534</v>
      </c>
      <c r="C1313" t="str">
        <f ca="1">INDEX($A1298:$A1306,MATCH(LARGE(C1298:C1306,4),C1298:C1306,0))</f>
        <v>Matt</v>
      </c>
      <c r="D1313">
        <f ca="1">INDEX(Sheet4!$B$2:$R$18,MATCH(Game!C1313,Sheet4!$A$2:$A$18,0),MATCH(Game!C$1309,Sheet4!$B$1:$R$1,0))</f>
        <v>68.279130379841646</v>
      </c>
      <c r="E1313" t="str">
        <f ca="1">INDEX($A1298:$A1306,MATCH(LARGE(D1298:D1306,4),D1298:D1306,0))</f>
        <v>Mark</v>
      </c>
      <c r="F1313">
        <f ca="1">INDEX(Sheet4!$B$2:$R$18,MATCH(Game!E1313,Sheet4!$A$2:$A$18,0),MATCH(Game!E$1309,Sheet4!$B$1:$R$1,0))</f>
        <v>72.406235089083978</v>
      </c>
      <c r="G1313" t="s">
        <v>49</v>
      </c>
      <c r="H1313" t="str">
        <f ca="1">INDEX(E1319:E1324,MATCH(SMALL(F1319:F1324,2),F1319:F1324,0))</f>
        <v>Christmas</v>
      </c>
    </row>
    <row r="1314" spans="1:8" x14ac:dyDescent="0.25">
      <c r="A1314" t="str">
        <f ca="1">INDEX($A1298:$A1306,MATCH(LARGE(B1298:B1306,5),B1298:B1306,0))</f>
        <v>Mark</v>
      </c>
      <c r="B1314">
        <f ca="1">INDEX(Sheet4!$B$2:$R$18,MATCH(Game!A1314,Sheet4!$A$2:$A$18,0),MATCH(Game!A$1309,Sheet4!$B$1:$R$1,0))</f>
        <v>45.249910546888039</v>
      </c>
      <c r="C1314" t="str">
        <f ca="1">INDEX($A1298:$A1306,MATCH(LARGE(C1298:C1306,5),C1298:C1306,0))</f>
        <v>Alex</v>
      </c>
      <c r="D1314">
        <f ca="1">INDEX(Sheet4!$B$2:$R$18,MATCH(Game!C1314,Sheet4!$A$2:$A$18,0),MATCH(Game!C$1309,Sheet4!$B$1:$R$1,0))</f>
        <v>74.337936926232928</v>
      </c>
      <c r="G1314" t="s">
        <v>50</v>
      </c>
      <c r="H1314" t="str">
        <f ca="1">INDEX(E1319:E1324,MATCH(SMALL(F1319:F1324,3),F1319:F1324,0))</f>
        <v>Jessica</v>
      </c>
    </row>
    <row r="1315" spans="1:8" x14ac:dyDescent="0.25">
      <c r="A1315" t="str">
        <f ca="1">INDEX($A1298:$A1306,MATCH(LARGE(B1298:B1306,6),B1298:B1306,0))</f>
        <v>Jessica</v>
      </c>
      <c r="B1315">
        <f ca="1">INDEX(Sheet4!$B$2:$R$18,MATCH(Game!A1315,Sheet4!$A$2:$A$18,0),MATCH(Game!A$1309,Sheet4!$B$1:$R$1,0))</f>
        <v>51.265613737767033</v>
      </c>
      <c r="G1315" t="s">
        <v>52</v>
      </c>
      <c r="H1315" t="str">
        <f ca="1">INDEX(E1319:E1324,MATCH(SMALL(F1319:F1324,4),F1319:F1324,0))</f>
        <v>Raven</v>
      </c>
    </row>
    <row r="1316" spans="1:8" x14ac:dyDescent="0.25">
      <c r="F1316" t="str">
        <f ca="1">INDEX(A1298:A1307,MATCH(LARGE(D1298:D1307,3),D1298:D1307,0))</f>
        <v>HGC</v>
      </c>
      <c r="G1316" t="s">
        <v>53</v>
      </c>
      <c r="H1316" t="str">
        <f ca="1">INDEX(E1319:E1324,MATCH(SMALL(F1319:F1324,5),F1319:F1324,0))</f>
        <v>Cody</v>
      </c>
    </row>
    <row r="1317" spans="1:8" x14ac:dyDescent="0.25">
      <c r="A1317" t="str">
        <f ca="1">IF(H1298="HGC",I1298,H1298)</f>
        <v>Raven</v>
      </c>
      <c r="B1317">
        <f ca="1">IF($I$26="On",INDEX($E$1041:$E$1054,MATCH(A1317,$D$1041:$D$1054,0)),RAND())</f>
        <v>101</v>
      </c>
      <c r="F1317" t="str">
        <f ca="1">INDEX(A1298:A1307,MATCH(LARGE(D1298:D1307,4),D1298:D1307,0))</f>
        <v>Matt</v>
      </c>
      <c r="G1317" t="s">
        <v>54</v>
      </c>
      <c r="H1317" t="str">
        <f ca="1">INDEX(E1319:E1324,MATCH(SMALL(F1319:F1324,6),F1319:F1324,0))</f>
        <v>Jason</v>
      </c>
    </row>
    <row r="1318" spans="1:8" x14ac:dyDescent="0.25">
      <c r="A1318" t="str">
        <f ca="1">IF(H1299="HGC",I1299,H1299)</f>
        <v>Jessica</v>
      </c>
      <c r="B1318">
        <f ca="1">IF($I$26="On",INDEX($E$1041:$E$1054,MATCH(A1318,$D$1041:$D$1054,0)),RAND())</f>
        <v>82.335943293871836</v>
      </c>
      <c r="D1318" t="str">
        <f ca="1">IF(F1289=G1322,F1290,F1289)</f>
        <v>Cameron</v>
      </c>
      <c r="E1318">
        <f ca="1">IF(D1319="Neither Nominee",RANDBETWEEN(1,2),RANDBETWEEN(1,4))</f>
        <v>4</v>
      </c>
      <c r="F1318">
        <f ca="1">RANDBETWEEN(1,4)</f>
        <v>1</v>
      </c>
      <c r="G1318" t="str">
        <f ca="1">"Congratulations, "&amp;H1317&amp;IF(G1287=G1282," and "&amp;H1316,"")</f>
        <v>Congratulations, Jason and Cody</v>
      </c>
    </row>
    <row r="1319" spans="1:8" x14ac:dyDescent="0.25">
      <c r="A1319" t="str">
        <f ca="1">IF(H1300="HGC",I1300,H1300)</f>
        <v>Cody</v>
      </c>
      <c r="B1319">
        <f ca="1">IF($I$26="On",INDEX($E$1041:$E$1054,MATCH(A1319,$D$1041:$D$1054,0)),RAND())</f>
        <v>73.03778757742748</v>
      </c>
      <c r="D1319" t="str">
        <f ca="1">IF(D1318=F1290,"Neither Nominee",IF(F1290=G1322,"Neither Nominee",F1290))</f>
        <v>Christmas</v>
      </c>
      <c r="E1319" t="str">
        <f ca="1">G1307</f>
        <v>Jason</v>
      </c>
      <c r="F1319">
        <f t="shared" ref="F1319:F1324" ca="1" si="211">RAND()</f>
        <v>0.48670107832532272</v>
      </c>
    </row>
    <row r="1320" spans="1:8" x14ac:dyDescent="0.25">
      <c r="E1320" t="str">
        <f ca="1">H1307</f>
        <v>Cameron</v>
      </c>
      <c r="F1320">
        <f t="shared" ca="1" si="211"/>
        <v>4.3833327838038727E-3</v>
      </c>
      <c r="G1320" s="2" t="s">
        <v>111</v>
      </c>
    </row>
    <row r="1321" spans="1:8" x14ac:dyDescent="0.25">
      <c r="E1321" t="str">
        <f ca="1">I1307</f>
        <v>Christmas</v>
      </c>
      <c r="F1321">
        <f t="shared" ca="1" si="211"/>
        <v>1.3059741851064954E-2</v>
      </c>
      <c r="G1321" t="str">
        <f ca="1">H1317&amp;" has decided to use the POV to save"</f>
        <v>Jason has decided to use the POV to save</v>
      </c>
    </row>
    <row r="1322" spans="1:8" x14ac:dyDescent="0.25">
      <c r="D1322" t="str">
        <f ca="1">H1317</f>
        <v>Jason</v>
      </c>
      <c r="E1322" t="str">
        <f ca="1">G1308</f>
        <v>Raven</v>
      </c>
      <c r="F1322">
        <f t="shared" ca="1" si="211"/>
        <v>0.16640614752178684</v>
      </c>
      <c r="G1322" t="str">
        <f ca="1">IF($I$26="On",Sheet4!C399,IF(COUNTIF(F1289:F1290,H1317)=1,H1317,IF(F1318=1,F1289,IF(F1318=2,F1290,"Neither Nominee"))))</f>
        <v>Neither Nominee</v>
      </c>
    </row>
    <row r="1323" spans="1:8" x14ac:dyDescent="0.25">
      <c r="D1323" t="str">
        <f ca="1">IF(G1287=G1282,H1316,"")</f>
        <v>Cody</v>
      </c>
      <c r="E1323" t="str">
        <f ca="1">H1308</f>
        <v>Jessica</v>
      </c>
      <c r="F1323">
        <f t="shared" ca="1" si="211"/>
        <v>5.9228823809982623E-2</v>
      </c>
      <c r="G1323" t="str">
        <f ca="1">IF(G1287=G1282,H1316&amp;" has decided to use the POV to save","")</f>
        <v>Cody has decided to use the POV to save</v>
      </c>
    </row>
    <row r="1324" spans="1:8" x14ac:dyDescent="0.25">
      <c r="D1324">
        <f ca="1">IF(G1322="Neither Nominee",0,1)</f>
        <v>0</v>
      </c>
      <c r="E1324" t="str">
        <f ca="1">I1308</f>
        <v>Cody</v>
      </c>
      <c r="F1324">
        <f t="shared" ca="1" si="211"/>
        <v>0.39064031805992738</v>
      </c>
      <c r="G1324" t="str">
        <f ca="1">IF(G1323="","",IF($I$26="On",Sheet4!A402,IF(COUNTIF(D1318:D1319,H1316)=1,H1316,IF(E1318=1,D1318,IF(E1318=2,D1319,"Neither Nominee")))))</f>
        <v>Cameron</v>
      </c>
    </row>
    <row r="1325" spans="1:8" x14ac:dyDescent="0.25">
      <c r="D1325">
        <f ca="1">IF(G1324="",0,IF(G1324="Neither Nominee",0,1))</f>
        <v>1</v>
      </c>
      <c r="G1325" t="str">
        <f ca="1">IF(D1326=0,"This POV Ceremony is adjourned",H1260&amp;" has decided to put up")</f>
        <v>Jason has decided to put up</v>
      </c>
    </row>
    <row r="1326" spans="1:8" x14ac:dyDescent="0.25">
      <c r="D1326">
        <f ca="1">D1324+D1325</f>
        <v>1</v>
      </c>
      <c r="E1326" t="str">
        <f ca="1">F1291</f>
        <v>Raven</v>
      </c>
      <c r="F1326">
        <f ca="1">IF(COUNTIF(G1322:G1324,E1326)+COUNTIF(D1322:D1323,E1326)=1,"",0.1)</f>
        <v>0.1</v>
      </c>
      <c r="G1326" t="str">
        <f ca="1">IF(D1326&gt;=1,INDEX(E1326:E1329,MATCH(SMALL(F1326:F1329,1),F1326:F1329,0)),"")</f>
        <v>Raven</v>
      </c>
    </row>
    <row r="1327" spans="1:8" x14ac:dyDescent="0.25">
      <c r="E1327" t="str">
        <f ca="1">F1292</f>
        <v>Cody</v>
      </c>
      <c r="F1327" t="str">
        <f ca="1">IF(COUNTIF(G1322:G1324,E1327)+COUNTIF(D1322:D1323,E1327)=1,"",0.2)</f>
        <v/>
      </c>
      <c r="G1327" t="str">
        <f ca="1">IF(D1326=2,INDEX(E1326:E1329,MATCH(SMALL(F1326:F1329,2),F1326:F1329,0)),"")</f>
        <v/>
      </c>
    </row>
    <row r="1328" spans="1:8" x14ac:dyDescent="0.25">
      <c r="E1328" t="str">
        <f ca="1">F1293</f>
        <v>Mark</v>
      </c>
      <c r="F1328">
        <f ca="1">IF(COUNTIF(G1322:G1324,E1328)+COUNTIF(D1322:D1323,E1328)=1,"",0.3)</f>
        <v>0.3</v>
      </c>
      <c r="G1328" t="s">
        <v>152</v>
      </c>
    </row>
    <row r="1329" spans="1:8" x14ac:dyDescent="0.25">
      <c r="E1329" t="str">
        <f ca="1">F1294</f>
        <v>Jessica</v>
      </c>
      <c r="F1329">
        <f ca="1">IF(COUNTIF(G1322:G1324,E1329)+COUNTIF(D1322:D1323,E1329)=1,"",0.4)</f>
        <v>0.4</v>
      </c>
      <c r="G1329" t="str">
        <f ca="1">IF(D1326=2,G1326,IF(COUNTIF(G1322:G1324,F1289)=1,G1326,F1289))</f>
        <v>Raven</v>
      </c>
    </row>
    <row r="1330" spans="1:8" x14ac:dyDescent="0.25">
      <c r="G1330" t="str">
        <f ca="1">IF(D1326=2,G1327,IF(COUNTIF(G1322:G1324,F1290)=1,G1326,F1290))</f>
        <v>Christmas</v>
      </c>
    </row>
    <row r="1332" spans="1:8" x14ac:dyDescent="0.25">
      <c r="G1332" s="2" t="s">
        <v>114</v>
      </c>
    </row>
    <row r="1333" spans="1:8" x14ac:dyDescent="0.25">
      <c r="B1333" t="str">
        <f ca="1">IF(G1287=G1280,D1289,"")</f>
        <v/>
      </c>
      <c r="F1333" s="29" t="str">
        <f ca="1">H1260</f>
        <v>Jason</v>
      </c>
      <c r="G1333" s="29" t="str">
        <f ca="1">G1329</f>
        <v>Raven</v>
      </c>
      <c r="H1333" s="29" t="str">
        <f ca="1">G1330</f>
        <v>Christmas</v>
      </c>
    </row>
    <row r="1335" spans="1:8" x14ac:dyDescent="0.25">
      <c r="A1335" t="str">
        <f t="shared" ref="A1335:A1343" ca="1" si="212">A1240</f>
        <v>Alex</v>
      </c>
      <c r="B1335">
        <f ca="1">IF(COUNTIF(F1333:H1333,A1335)=1,"",0.01)</f>
        <v>0.01</v>
      </c>
      <c r="C1335" t="str">
        <f ca="1">IF(B1335="","",IF(B1333="","",INDEX(Sheet4!$B$2:$R$18,MATCH(Game!B1333,Sheet4!$B$1:$R$1,0),MATCH(Game!A1335,Sheet4!$A$2:$A$18,0))))</f>
        <v/>
      </c>
      <c r="D1335">
        <f t="shared" ref="D1335:D1343" ca="1" si="213">IF(B1335="","",IF(COUNTIF($C$1347:$C$1348,A1335)=1,"",RAND()))</f>
        <v>4.2612138554021906E-2</v>
      </c>
      <c r="G1335" t="str">
        <f ca="1">IF(G1287=G1280,D1289&amp;" can eliminate 2 eviction votes","")</f>
        <v/>
      </c>
    </row>
    <row r="1336" spans="1:8" x14ac:dyDescent="0.25">
      <c r="A1336" t="str">
        <f t="shared" ca="1" si="212"/>
        <v>Cameron</v>
      </c>
      <c r="B1336">
        <f ca="1">IF(COUNTIF(F1333:H1333,A1336)=1,"",0.02)</f>
        <v>0.02</v>
      </c>
      <c r="C1336" t="str">
        <f ca="1">IF(B1336="","",IF($B$1333="","",INDEX(Sheet4!B2:R18,MATCH(Game!B1333,Sheet4!B1:R1,0),MATCH(Game!A1336,Sheet4!A2:A18,0))))</f>
        <v/>
      </c>
      <c r="D1336">
        <f t="shared" ca="1" si="213"/>
        <v>0.88788021030861763</v>
      </c>
      <c r="G1336" t="str">
        <f ca="1">IF(G1335="","",B1333&amp;" blocks the votes of "&amp;C1347&amp;" and "&amp;C1348)</f>
        <v/>
      </c>
    </row>
    <row r="1337" spans="1:8" x14ac:dyDescent="0.25">
      <c r="A1337" t="str">
        <f t="shared" ca="1" si="212"/>
        <v>Christmas</v>
      </c>
      <c r="B1337" t="str">
        <f ca="1">IF(COUNTIF(F1333:H1333,A1337)=1,"",0.03)</f>
        <v/>
      </c>
      <c r="C1337" t="str">
        <f ca="1">IF(B1337="","",IF($B$1333="","",INDEX(Sheet4!B2:R18,MATCH(Game!B1333,Sheet4!B1:R1,0),MATCH(Game!A1337,Sheet4!A2:A18,0))))</f>
        <v/>
      </c>
      <c r="D1337" t="str">
        <f t="shared" ca="1" si="213"/>
        <v/>
      </c>
    </row>
    <row r="1338" spans="1:8" x14ac:dyDescent="0.25">
      <c r="A1338" t="str">
        <f t="shared" ca="1" si="212"/>
        <v>Cody</v>
      </c>
      <c r="B1338">
        <f ca="1">IF(COUNTIF(F1333:H1333,A1338)=1,"",0.04)</f>
        <v>0.04</v>
      </c>
      <c r="C1338" t="str">
        <f ca="1">IF(B1338="","",IF($B$1333="","",INDEX(Sheet4!B2:R18,MATCH(Game!B1333,Sheet4!B1:R1,0),MATCH(Game!A1338,Sheet4!A2:A18,0))))</f>
        <v/>
      </c>
      <c r="D1338">
        <f t="shared" ca="1" si="213"/>
        <v>0.26869162533349489</v>
      </c>
      <c r="F1338" t="str">
        <f ca="1">INDEX(A1335:A1343,MATCH(LARGE(D1335:D1343,1),D1335:D1343,0))</f>
        <v>Cameron</v>
      </c>
      <c r="G1338" t="str">
        <f ca="1">F1338&amp;"-"</f>
        <v>Cameron-</v>
      </c>
      <c r="H1338" t="str">
        <f ca="1">IF($I$26="On",INDEX(Sheet4!B407:R407,MATCH(Game!F1338,Sheet4!B404:R404,0)),IF(RANDBETWEEN(1,2)=1,Game!G1333,Game!H1333))</f>
        <v>Christmas</v>
      </c>
    </row>
    <row r="1339" spans="1:8" x14ac:dyDescent="0.25">
      <c r="A1339" t="str">
        <f t="shared" ca="1" si="212"/>
        <v>Jason</v>
      </c>
      <c r="B1339" t="str">
        <f ca="1">IF(COUNTIF(F1333:H1333,A1339)=1,"",0.05)</f>
        <v/>
      </c>
      <c r="C1339" t="str">
        <f ca="1">IF(B1339="","",IF($B$1333="","",INDEX(Sheet4!B2:R18,MATCH(Game!B1333,Sheet4!B1:R1,0),MATCH(Game!A1339,Sheet4!A2:A18,0))))</f>
        <v/>
      </c>
      <c r="D1339" t="str">
        <f t="shared" ca="1" si="213"/>
        <v/>
      </c>
      <c r="F1339" t="str">
        <f ca="1">INDEX(A1335:A1343,MATCH(LARGE(D1335:D1343,2),D1335:D1343,0))</f>
        <v>Matt</v>
      </c>
      <c r="G1339" t="str">
        <f ca="1">F1339&amp;"-"</f>
        <v>Matt-</v>
      </c>
      <c r="H1339" t="str">
        <f ca="1">IF($I$26="On",INDEX(Sheet4!B407:R407,MATCH(Game!F1339,Sheet4!B404:R404,0)),IF(RANDBETWEEN(1,2)=1,Game!G1333,Game!H1333))</f>
        <v>Raven</v>
      </c>
    </row>
    <row r="1340" spans="1:8" x14ac:dyDescent="0.25">
      <c r="A1340" t="str">
        <f t="shared" ca="1" si="212"/>
        <v>Jessica</v>
      </c>
      <c r="B1340">
        <f ca="1">IF(COUNTIF(F1333:H1333,A1340)=1,"",0.06)</f>
        <v>0.06</v>
      </c>
      <c r="C1340" t="str">
        <f ca="1">IF(B1340="","",IF($B$1333="","",INDEX(Sheet4!B2:R18,MATCH(Game!B1333,Sheet4!B1:R1,0),MATCH(Game!A1340,Sheet4!A2:A18,0))))</f>
        <v/>
      </c>
      <c r="D1340">
        <f t="shared" ca="1" si="213"/>
        <v>0.36602584498897661</v>
      </c>
      <c r="F1340" t="str">
        <f ca="1">INDEX(A1335:A1343,MATCH(LARGE(D1335:D1343,3),D1335:D1343,0))</f>
        <v>Mark</v>
      </c>
      <c r="G1340" t="str">
        <f ca="1">F1340&amp;"-"</f>
        <v>Mark-</v>
      </c>
      <c r="H1340" t="str">
        <f ca="1">IF($I$26="On",INDEX(Sheet4!B407:R407,MATCH(Game!F1340,Sheet4!B404:R404,0)),IF(RANDBETWEEN(1,2)=1,Game!G1333,Game!H1333))</f>
        <v>Raven</v>
      </c>
    </row>
    <row r="1341" spans="1:8" x14ac:dyDescent="0.25">
      <c r="A1341" t="str">
        <f t="shared" ca="1" si="212"/>
        <v>Mark</v>
      </c>
      <c r="B1341">
        <f ca="1">IF(COUNTIF(F1333:H1333,A1341)=1,"",0.07)</f>
        <v>7.0000000000000007E-2</v>
      </c>
      <c r="C1341" t="str">
        <f ca="1">IF(B1341="","",IF($B$1333="","",INDEX(Sheet4!B2:R18,MATCH(Game!B1333,Sheet4!B1:R1,0),MATCH(Game!A1341,Sheet4!A2:A18,0))))</f>
        <v/>
      </c>
      <c r="D1341">
        <f t="shared" ca="1" si="213"/>
        <v>0.58618868159062676</v>
      </c>
      <c r="F1341" t="str">
        <f ca="1">INDEX(A1335:A1343,MATCH(LARGE(D1335:D1343,4),D1335:D1343,0))</f>
        <v>Jessica</v>
      </c>
      <c r="G1341" t="str">
        <f ca="1">F1341&amp;"-"</f>
        <v>Jessica-</v>
      </c>
      <c r="H1341" t="str">
        <f ca="1">IF($I$26="On",INDEX(Sheet4!B407:R407,MATCH(Game!F1341,Sheet4!B404:R404,0)),IF(RANDBETWEEN(1,2)=1,Game!G1333,Game!H1333))</f>
        <v>Christmas</v>
      </c>
    </row>
    <row r="1342" spans="1:8" x14ac:dyDescent="0.25">
      <c r="A1342" t="str">
        <f t="shared" ca="1" si="212"/>
        <v>Matt</v>
      </c>
      <c r="B1342">
        <f ca="1">IF(COUNTIF(F1333:H1333,A1342)=1,"",0.08)</f>
        <v>0.08</v>
      </c>
      <c r="C1342" t="str">
        <f ca="1">IF(B1342="","",IF($B$1333="","",INDEX(Sheet4!B2:R18,MATCH(Game!B1333,Sheet4!B1:R1,0),MATCH(Game!A1342,Sheet4!A2:A18,0))))</f>
        <v/>
      </c>
      <c r="D1342">
        <f t="shared" ca="1" si="213"/>
        <v>0.61364126557636733</v>
      </c>
      <c r="F1342" t="str">
        <f ca="1">IF(B1333="",INDEX(A1335:A1343,MATCH(LARGE(D1335:D1343,5),D1335:D1343,0)),"")</f>
        <v>Cody</v>
      </c>
      <c r="G1342" t="str">
        <f ca="1">IF(F1342="","",F1342&amp;"-")</f>
        <v>Cody-</v>
      </c>
      <c r="H1342" t="str">
        <f ca="1">IF(F1342="","",IF($I$26="On",INDEX(Sheet4!B407:R407,MATCH(Game!F1342,Sheet4!B404:R404,0)),IF(RANDBETWEEN(1,2)=1,Game!G1333,Game!H1333)))</f>
        <v>Christmas</v>
      </c>
    </row>
    <row r="1343" spans="1:8" x14ac:dyDescent="0.25">
      <c r="A1343" t="str">
        <f t="shared" ca="1" si="212"/>
        <v>Raven</v>
      </c>
      <c r="B1343" t="str">
        <f ca="1">IF(COUNTIF(F1333:H1333,A1343)=1,"",0.09)</f>
        <v/>
      </c>
      <c r="C1343" t="str">
        <f ca="1">IF(B1343="","",IF($B$1333="","",INDEX(Sheet4!B2:R18,MATCH(Game!B1333,Sheet4!B1:R1,0),MATCH(Game!A1343,Sheet4!A2:A18,0))))</f>
        <v/>
      </c>
      <c r="D1343" t="str">
        <f t="shared" ca="1" si="213"/>
        <v/>
      </c>
      <c r="F1343" t="str">
        <f ca="1">IF(B1333="",INDEX(A1335:A1343,MATCH(LARGE(D1335:D1343,6),D1335:D1343,0)),"")</f>
        <v>Alex</v>
      </c>
      <c r="G1343" t="str">
        <f ca="1">IF(F1343="","",F1343&amp;"-")</f>
        <v>Alex-</v>
      </c>
      <c r="H1343" t="str">
        <f ca="1">IF(F1343="","",IF($I$26="On",INDEX(Sheet4!B407:R407,MATCH(Game!F1343,Sheet4!B404:R404,0)),IF(RANDBETWEEN(1,2)=1,Game!G1333,Game!H1333)))</f>
        <v>Raven</v>
      </c>
    </row>
    <row r="1345" spans="1:12" x14ac:dyDescent="0.25">
      <c r="C1345" t="str">
        <f ca="1">IF(B1333="","",INDEX(A1335:A1343,MATCH(SMALL(C1335:C1343,1),C1335:C1343,0)))</f>
        <v/>
      </c>
      <c r="D1345" t="str">
        <f ca="1">G1329</f>
        <v>Raven</v>
      </c>
      <c r="E1345">
        <f ca="1">COUNTIF(H1338:H1343,D1345)</f>
        <v>3</v>
      </c>
      <c r="G1345" t="str">
        <f ca="1">IF(E1345=E1346,"We have a tie!","")</f>
        <v>We have a tie!</v>
      </c>
    </row>
    <row r="1346" spans="1:12" x14ac:dyDescent="0.25">
      <c r="C1346" t="str">
        <f ca="1">IF(B1333="","",INDEX(A1335:A1343,MATCH(SMALL(C1335:C1343,2),C1335:C1343,0)))</f>
        <v/>
      </c>
      <c r="D1346" t="str">
        <f ca="1">G1330</f>
        <v>Christmas</v>
      </c>
      <c r="E1346">
        <f ca="1">COUNTIF(H1338:H1343,D1346)</f>
        <v>3</v>
      </c>
      <c r="G1346" t="str">
        <f ca="1">IF(G1345="","",F1333&amp;", the HOH, will break the tie")</f>
        <v>Jason, the HOH, will break the tie</v>
      </c>
    </row>
    <row r="1347" spans="1:12" x14ac:dyDescent="0.25">
      <c r="C1347" t="str">
        <f ca="1">IF(C1346&lt;C1345,C1346,C1345)</f>
        <v/>
      </c>
      <c r="F1347" t="str">
        <f ca="1">IF(G1345="","",F1333)</f>
        <v>Jason</v>
      </c>
      <c r="G1347" t="str">
        <f ca="1">IF(F1347="","",F1347&amp;"-")</f>
        <v>Jason-</v>
      </c>
      <c r="H1347" t="str">
        <f ca="1">IF(F1347="","",IF($I$26="On",INDEX(Sheet4!B407:R407,MATCH(Game!F1347,Sheet4!B404:R404,0)),IF(RANDBETWEEN(1,2)=1,Game!G1333,Game!H1333)))</f>
        <v>Christmas</v>
      </c>
    </row>
    <row r="1348" spans="1:12" x14ac:dyDescent="0.25">
      <c r="A1348" t="str">
        <f ca="1">IF(A1240=G1350,A1241,A1240)</f>
        <v>Alex</v>
      </c>
      <c r="C1348" t="str">
        <f ca="1">IF(C1347=C1346,C1345,C1346)</f>
        <v/>
      </c>
      <c r="D1348" t="str">
        <f ca="1">D1345</f>
        <v>Raven</v>
      </c>
      <c r="E1348">
        <f ca="1">COUNTIF(H1338:H1347,D1348)</f>
        <v>3</v>
      </c>
    </row>
    <row r="1349" spans="1:12" x14ac:dyDescent="0.25">
      <c r="A1349" t="str">
        <f ca="1">IF(A1348=A1241,A1242,IF(A1241=G1350,A1242,A1241))</f>
        <v>Cameron</v>
      </c>
      <c r="D1349" t="str">
        <f ca="1">D1346</f>
        <v>Christmas</v>
      </c>
      <c r="E1349">
        <f ca="1">COUNTIF(H1338:H1347,D1349)</f>
        <v>4</v>
      </c>
      <c r="G1349" t="str">
        <f ca="1">"By a vote of "&amp;LARGE(E1348:E1349,1)&amp;"-"&amp;SMALL(E1348:E1349,1)</f>
        <v>By a vote of 4-3</v>
      </c>
    </row>
    <row r="1350" spans="1:12" x14ac:dyDescent="0.25">
      <c r="A1350" t="str">
        <f ca="1">IF(A1349=A1242,A1243,IF(A1242=G1350,A1243,A1242))</f>
        <v>Cody</v>
      </c>
      <c r="F1350" t="str">
        <f ca="1">IF(G1287=G1281,D1289,"")</f>
        <v/>
      </c>
      <c r="G1350" t="str">
        <f ca="1">INDEX(D1348:D1349,MATCH(LARGE(E1348:E1349,1),E1348:E1349,0))</f>
        <v>Christmas</v>
      </c>
    </row>
    <row r="1351" spans="1:12" x14ac:dyDescent="0.25">
      <c r="A1351" t="str">
        <f ca="1">IF(A1350=A1243,A1244,IF(A1243=G1350,A1244,A1243))</f>
        <v>Jason</v>
      </c>
      <c r="G1351" t="s">
        <v>62</v>
      </c>
    </row>
    <row r="1352" spans="1:12" x14ac:dyDescent="0.25">
      <c r="A1352" t="str">
        <f ca="1">IF(A1351=A1244,A1245,IF(A1244=G1350,A1245,A1244))</f>
        <v>Jessica</v>
      </c>
    </row>
    <row r="1353" spans="1:12" x14ac:dyDescent="0.25">
      <c r="A1353" t="str">
        <f ca="1">IF(A1352=A1245,A1246,IF(A1245=G1350,A1246,A1245))</f>
        <v>Mark</v>
      </c>
      <c r="G1353" t="str">
        <f ca="1">IF(G1350=F1350,F1333&amp;" gets $5,000 for taking the bounty out","")</f>
        <v/>
      </c>
    </row>
    <row r="1354" spans="1:12" x14ac:dyDescent="0.25">
      <c r="A1354" t="str">
        <f ca="1">IF(A1353=A1246,A1247,IF(A1246=G1350,A1247,A1246))</f>
        <v>Matt</v>
      </c>
    </row>
    <row r="1355" spans="1:12" x14ac:dyDescent="0.25">
      <c r="A1355" t="str">
        <f ca="1">IF(A1354=A1247,A1248,IF(A1247=$G$1350,A1248,A1247))</f>
        <v>Raven</v>
      </c>
      <c r="G1355" s="2" t="s">
        <v>205</v>
      </c>
    </row>
    <row r="1356" spans="1:12" x14ac:dyDescent="0.25">
      <c r="G1356" s="16" t="str">
        <f ca="1">A1348</f>
        <v>Alex</v>
      </c>
      <c r="H1356" s="16" t="str">
        <f ca="1">A1349</f>
        <v>Cameron</v>
      </c>
      <c r="I1356" s="16" t="str">
        <f ca="1">A1350</f>
        <v>Cody</v>
      </c>
      <c r="J1356" s="16" t="str">
        <f ca="1">A1351</f>
        <v>Jason</v>
      </c>
      <c r="K1356" s="16" t="str">
        <f ca="1">A1352</f>
        <v>Jessica</v>
      </c>
      <c r="L1356" s="10"/>
    </row>
    <row r="1357" spans="1:12" x14ac:dyDescent="0.25">
      <c r="G1357" s="24" t="str">
        <f ca="1">IF(COUNTIF(B1358:F1359,G1356)=0,"","HOH - "&amp;COUNTIF(B1358:F1359,G1356))</f>
        <v/>
      </c>
      <c r="H1357" s="24" t="str">
        <f ca="1">IF(COUNTIF($B$1358:$F$1359,H1356)=0,"","HOH - "&amp;COUNTIF($B$1358:$F$1359,H1356))</f>
        <v/>
      </c>
      <c r="I1357" s="24" t="str">
        <f ca="1">IF(COUNTIF($B$1358:$F$1359,I1356)=0,"","HOH - "&amp;COUNTIF($B$1358:$F$1359,I1356))</f>
        <v>HOH - 1</v>
      </c>
      <c r="J1357" s="24" t="str">
        <f ca="1">IF(COUNTIF($B$1358:$F$1359,J1356)=0,"","HOH - "&amp;COUNTIF($B$1358:$F$1359,J1356))</f>
        <v>HOH - 1</v>
      </c>
      <c r="K1357" s="24" t="str">
        <f ca="1">IF(COUNTIF($B$1358:$F$1359,K1356)=0,"","HOH - "&amp;COUNTIF($B$1358:$F$1359,K1356))</f>
        <v>HOH - 1</v>
      </c>
      <c r="L1357" s="10"/>
    </row>
    <row r="1358" spans="1:12" x14ac:dyDescent="0.25">
      <c r="B1358" t="str">
        <f ca="1">B1241</f>
        <v>Raven</v>
      </c>
      <c r="C1358" t="str">
        <f ca="1">C1241</f>
        <v>Josh</v>
      </c>
      <c r="D1358" t="str">
        <f ca="1">D1241</f>
        <v>Ramses</v>
      </c>
      <c r="E1358" t="str">
        <f ca="1">E1241</f>
        <v>Cody</v>
      </c>
      <c r="F1358" t="str">
        <f ca="1">F1241</f>
        <v>Josh</v>
      </c>
      <c r="G1358" s="24" t="str">
        <f ca="1">IF(COUNTIF(B1360:F1361,G1356)=0,"","POV - "&amp;COUNTIF(B1360:F1361,G1356))</f>
        <v/>
      </c>
      <c r="H1358" s="24" t="str">
        <f ca="1">IF(COUNTIF($B$1360:$F$1361,H1356)=0,"","POV - "&amp;COUNTIF($B$1360:$F$1361,H1356))</f>
        <v/>
      </c>
      <c r="I1358" s="24" t="str">
        <f ca="1">IF(COUNTIF($B$1360:$F$1361,I1356)=0,"","POV - "&amp;COUNTIF($B$1360:$F$1361,I1356))</f>
        <v>POV - 2</v>
      </c>
      <c r="J1358" s="24" t="str">
        <f ca="1">IF(COUNTIF($B$1360:$F$1361,J1356)=0,"","POV - "&amp;COUNTIF($B$1360:$F$1361,J1356))</f>
        <v>POV - 1</v>
      </c>
      <c r="K1358" s="24" t="str">
        <f ca="1">IF(COUNTIF($B$1360:$F$1361,K1356)=0,"","POV - "&amp;COUNTIF($B$1360:$F$1361,K1356))</f>
        <v/>
      </c>
      <c r="L1358" s="10"/>
    </row>
    <row r="1359" spans="1:12" x14ac:dyDescent="0.25">
      <c r="B1359" t="str">
        <f t="shared" ref="B1359:D1361" ca="1" si="214">B1242</f>
        <v>Christmas</v>
      </c>
      <c r="C1359" t="str">
        <f t="shared" ca="1" si="214"/>
        <v>Raven</v>
      </c>
      <c r="D1359" t="str">
        <f t="shared" ca="1" si="214"/>
        <v>Jessica</v>
      </c>
      <c r="E1359" t="str">
        <f ca="1">H1260</f>
        <v>Jason</v>
      </c>
      <c r="G1359" s="16" t="str">
        <f ca="1">A1353</f>
        <v>Mark</v>
      </c>
      <c r="H1359" s="16" t="str">
        <f ca="1">A1354</f>
        <v>Matt</v>
      </c>
      <c r="I1359" s="16" t="str">
        <f ca="1">A1355</f>
        <v>Raven</v>
      </c>
      <c r="J1359" s="19" t="str">
        <f ca="1">G1350</f>
        <v>Christmas</v>
      </c>
      <c r="K1359" s="19" t="str">
        <f t="shared" ref="K1359:L1364" ca="1" si="215">K1243</f>
        <v>Megan</v>
      </c>
      <c r="L1359" s="19" t="str">
        <f t="shared" ca="1" si="215"/>
        <v>Jillian</v>
      </c>
    </row>
    <row r="1360" spans="1:12" x14ac:dyDescent="0.25">
      <c r="B1360" t="str">
        <f t="shared" ca="1" si="214"/>
        <v>Christmas</v>
      </c>
      <c r="C1360" t="str">
        <f t="shared" ca="1" si="214"/>
        <v>Christmas</v>
      </c>
      <c r="D1360" t="str">
        <f t="shared" ca="1" si="214"/>
        <v>Elena</v>
      </c>
      <c r="E1360" t="str">
        <f ca="1">E1243</f>
        <v>Megan</v>
      </c>
      <c r="F1360" t="str">
        <f ca="1">F1243</f>
        <v>Raven</v>
      </c>
      <c r="G1360" s="24" t="str">
        <f ca="1">IF(COUNTIF($B$1358:$F$1359,G1359)=0,"","HOH - "&amp;COUNTIF($B$1358:$F$1359,G1359))</f>
        <v/>
      </c>
      <c r="H1360" s="24" t="str">
        <f ca="1">IF(COUNTIF($B$1358:$F$1359,H1359)=0,"","HOH - "&amp;COUNTIF($B$1358:$F$1359,H1359))</f>
        <v/>
      </c>
      <c r="I1360" s="24" t="str">
        <f ca="1">IF(COUNTIF($B$1358:$F$1359,I1359)=0,"","HOH - "&amp;COUNTIF($B$1358:$F$1359,I1359))</f>
        <v>HOH - 2</v>
      </c>
      <c r="J1360" s="31" t="str">
        <f ca="1">IF(COUNTIF($B$1358:$F$1359,J1359)=0,"","HOH - "&amp;COUNTIF($B$1358:$F$1359,J1359))</f>
        <v>HOH - 1</v>
      </c>
      <c r="K1360" s="31" t="str">
        <f t="shared" ca="1" si="215"/>
        <v/>
      </c>
      <c r="L1360" s="31" t="str">
        <f t="shared" ca="1" si="215"/>
        <v/>
      </c>
    </row>
    <row r="1361" spans="1:12" x14ac:dyDescent="0.25">
      <c r="B1361" t="str">
        <f t="shared" ca="1" si="214"/>
        <v>Cody</v>
      </c>
      <c r="C1361" t="str">
        <f t="shared" ca="1" si="214"/>
        <v>Megan</v>
      </c>
      <c r="D1361" t="str">
        <f t="shared" ca="1" si="214"/>
        <v>Mark</v>
      </c>
      <c r="E1361" t="str">
        <f ca="1">H1317</f>
        <v>Jason</v>
      </c>
      <c r="F1361" t="str">
        <f ca="1">IF(G1287=G1282,H1316,"")</f>
        <v>Cody</v>
      </c>
      <c r="G1361" s="24" t="str">
        <f ca="1">IF(COUNTIF($B$1360:$F$1361,G1359)=0,"","POV - "&amp;COUNTIF($B$1360:$F$1361,G1359))</f>
        <v>POV - 1</v>
      </c>
      <c r="H1361" s="24" t="str">
        <f ca="1">IF(COUNTIF($B$1360:$F$1361,H1359)=0,"","POV - "&amp;COUNTIF($B$1360:$F$1361,H1359))</f>
        <v/>
      </c>
      <c r="I1361" s="24" t="str">
        <f ca="1">IF(COUNTIF($B$1360:$F$1361,I1359)=0,"","POV - "&amp;COUNTIF($B$1360:$F$1361,I1359))</f>
        <v>POV - 1</v>
      </c>
      <c r="J1361" s="31" t="str">
        <f ca="1">IF(COUNTIF($B$1360:$F$1361,J1359)=0,"","POV - "&amp;COUNTIF($B$1360:$F$1361,J1359))</f>
        <v>POV - 2</v>
      </c>
      <c r="K1361" s="33" t="str">
        <f t="shared" ca="1" si="215"/>
        <v>POV - 2</v>
      </c>
      <c r="L1361" s="33" t="str">
        <f t="shared" ca="1" si="215"/>
        <v/>
      </c>
    </row>
    <row r="1362" spans="1:12" x14ac:dyDescent="0.25">
      <c r="G1362" s="19" t="str">
        <f t="shared" ref="G1362:J1364" ca="1" si="216">G1246</f>
        <v>Josh</v>
      </c>
      <c r="H1362" s="19" t="str">
        <f t="shared" ca="1" si="216"/>
        <v>Elena</v>
      </c>
      <c r="I1362" s="19" t="str">
        <f t="shared" ca="1" si="216"/>
        <v>Ramses</v>
      </c>
      <c r="J1362" s="19" t="str">
        <f t="shared" ca="1" si="216"/>
        <v>Paul</v>
      </c>
      <c r="K1362" s="30" t="str">
        <f t="shared" ca="1" si="215"/>
        <v>Kevin</v>
      </c>
      <c r="L1362" s="19" t="str">
        <f t="shared" ca="1" si="215"/>
        <v>Dominique</v>
      </c>
    </row>
    <row r="1363" spans="1:12" x14ac:dyDescent="0.25">
      <c r="G1363" s="31" t="str">
        <f t="shared" ca="1" si="216"/>
        <v>HOH - 2</v>
      </c>
      <c r="H1363" s="31" t="str">
        <f t="shared" ca="1" si="216"/>
        <v/>
      </c>
      <c r="I1363" s="31" t="str">
        <f t="shared" ca="1" si="216"/>
        <v>HOH - 1</v>
      </c>
      <c r="J1363" s="31" t="str">
        <f t="shared" ca="1" si="216"/>
        <v/>
      </c>
      <c r="K1363" s="32" t="str">
        <f t="shared" ca="1" si="215"/>
        <v/>
      </c>
      <c r="L1363" s="31" t="str">
        <f t="shared" ca="1" si="215"/>
        <v/>
      </c>
    </row>
    <row r="1364" spans="1:12" x14ac:dyDescent="0.25">
      <c r="G1364" s="33" t="str">
        <f t="shared" ca="1" si="216"/>
        <v/>
      </c>
      <c r="H1364" s="33" t="str">
        <f t="shared" ca="1" si="216"/>
        <v>POV - 1</v>
      </c>
      <c r="I1364" s="33" t="str">
        <f t="shared" ca="1" si="216"/>
        <v/>
      </c>
      <c r="J1364" s="33" t="str">
        <f t="shared" ca="1" si="216"/>
        <v/>
      </c>
      <c r="K1364" s="34" t="str">
        <f t="shared" ca="1" si="215"/>
        <v/>
      </c>
      <c r="L1364" s="33" t="str">
        <f t="shared" ca="1" si="215"/>
        <v/>
      </c>
    </row>
    <row r="1366" spans="1:12" x14ac:dyDescent="0.25">
      <c r="G1366" s="2" t="s">
        <v>65</v>
      </c>
    </row>
    <row r="1367" spans="1:12" x14ac:dyDescent="0.25">
      <c r="F1367" t="str">
        <f ca="1">IF(G1287=G1279,IF(D1289=G1350,"",D1289),"")</f>
        <v/>
      </c>
      <c r="G1367" t="s">
        <v>130</v>
      </c>
      <c r="H1367" t="str">
        <f ca="1">H1260</f>
        <v>Jason</v>
      </c>
    </row>
    <row r="1368" spans="1:12" x14ac:dyDescent="0.25">
      <c r="G1368" t="str">
        <f ca="1">IF(F1367="","",IF(F1367=H1367,H1367&amp;" cannot compete in the next HOH, next week",F1367&amp;" cannot compete in this HOH"))</f>
        <v/>
      </c>
    </row>
    <row r="1370" spans="1:12" x14ac:dyDescent="0.25">
      <c r="G1370" t="str">
        <f ca="1">IF(F1367="","7th-",IF(H1367=F1367,"7th-",""))</f>
        <v>7th-</v>
      </c>
      <c r="H1370" t="str">
        <f ca="1">IF(G1370="","",INDEX(A1371:A1378,MATCH(LARGE(B1371:B1378,7),B1371:B1378,0)))</f>
        <v>Cameron</v>
      </c>
    </row>
    <row r="1371" spans="1:12" x14ac:dyDescent="0.25">
      <c r="A1371" t="str">
        <f t="shared" ref="A1371:A1378" ca="1" si="217">A1348</f>
        <v>Alex</v>
      </c>
      <c r="B1371">
        <f t="shared" ref="B1371:B1378" ca="1" si="218">IF(COUNTIF($F$1367:$H$1367,A1371)&gt;=1,"",RAND())</f>
        <v>0.62171482474336737</v>
      </c>
      <c r="G1371" t="s">
        <v>48</v>
      </c>
      <c r="H1371" t="str">
        <f ca="1">INDEX(A1371:A1378,MATCH(LARGE(B1371:B1378,6),B1371:B1378,0))</f>
        <v>Alex</v>
      </c>
    </row>
    <row r="1372" spans="1:12" x14ac:dyDescent="0.25">
      <c r="A1372" t="str">
        <f t="shared" ca="1" si="217"/>
        <v>Cameron</v>
      </c>
      <c r="B1372">
        <f t="shared" ca="1" si="218"/>
        <v>0.46486759186199167</v>
      </c>
      <c r="G1372" t="s">
        <v>49</v>
      </c>
      <c r="H1372" t="str">
        <f ca="1">INDEX(A1371:A1378,MATCH(LARGE(B1371:B1378,5),B1371:B1378,0))</f>
        <v>Mark</v>
      </c>
    </row>
    <row r="1373" spans="1:12" x14ac:dyDescent="0.25">
      <c r="A1373" t="str">
        <f t="shared" ca="1" si="217"/>
        <v>Cody</v>
      </c>
      <c r="B1373">
        <f t="shared" ca="1" si="218"/>
        <v>0.82913130209627539</v>
      </c>
      <c r="G1373" t="s">
        <v>50</v>
      </c>
      <c r="H1373" t="str">
        <f ca="1">INDEX(A1371:A1378,MATCH(LARGE(B1371:B1378,4),B1371:B1378,0))</f>
        <v>Jessica</v>
      </c>
    </row>
    <row r="1374" spans="1:12" x14ac:dyDescent="0.25">
      <c r="A1374" t="str">
        <f t="shared" ca="1" si="217"/>
        <v>Jason</v>
      </c>
      <c r="B1374" t="str">
        <f t="shared" ca="1" si="218"/>
        <v/>
      </c>
      <c r="G1374" t="s">
        <v>52</v>
      </c>
      <c r="H1374" t="str">
        <f ca="1">INDEX(A1371:A1378,MATCH(LARGE(B1371:B1378,3),B1371:B1378,0))</f>
        <v>Cody</v>
      </c>
    </row>
    <row r="1375" spans="1:12" x14ac:dyDescent="0.25">
      <c r="A1375" t="str">
        <f t="shared" ca="1" si="217"/>
        <v>Jessica</v>
      </c>
      <c r="B1375">
        <f t="shared" ca="1" si="218"/>
        <v>0.80602201852728028</v>
      </c>
      <c r="G1375" t="s">
        <v>53</v>
      </c>
      <c r="H1375" t="str">
        <f ca="1">INDEX(A1371:A1378,MATCH(LARGE(B1371:B1378,2),B1371:B1378,0))</f>
        <v>Matt</v>
      </c>
    </row>
    <row r="1376" spans="1:12" x14ac:dyDescent="0.25">
      <c r="A1376" t="str">
        <f t="shared" ca="1" si="217"/>
        <v>Mark</v>
      </c>
      <c r="B1376">
        <f t="shared" ca="1" si="218"/>
        <v>0.78518781762197909</v>
      </c>
      <c r="G1376" t="s">
        <v>54</v>
      </c>
      <c r="H1376" t="str">
        <f ca="1">INDEX(A1371:A1378,MATCH(LARGE(B1371:B1378,1),B1371:B1378,0))</f>
        <v>Raven</v>
      </c>
    </row>
    <row r="1377" spans="1:7" x14ac:dyDescent="0.25">
      <c r="A1377" t="str">
        <f t="shared" ca="1" si="217"/>
        <v>Matt</v>
      </c>
      <c r="B1377">
        <f t="shared" ca="1" si="218"/>
        <v>0.96234687292138965</v>
      </c>
      <c r="G1377" t="str">
        <f ca="1">"Congratulations, "&amp;H1376</f>
        <v>Congratulations, Raven</v>
      </c>
    </row>
    <row r="1378" spans="1:7" x14ac:dyDescent="0.25">
      <c r="A1378" t="str">
        <f t="shared" ca="1" si="217"/>
        <v>Raven</v>
      </c>
      <c r="B1378">
        <f t="shared" ca="1" si="218"/>
        <v>0.97689297060628288</v>
      </c>
    </row>
    <row r="1379" spans="1:7" x14ac:dyDescent="0.25">
      <c r="F1379" t="str">
        <f ca="1">F1187</f>
        <v>Alex</v>
      </c>
    </row>
    <row r="1380" spans="1:7" x14ac:dyDescent="0.25">
      <c r="G1380" s="2" t="s">
        <v>85</v>
      </c>
    </row>
    <row r="1381" spans="1:7" x14ac:dyDescent="0.25">
      <c r="G1381" s="1" t="str">
        <f ca="1">H1376&amp;" must select "&amp;E1386&amp;" have not"&amp;IF(E1386=1,"","s")&amp;" for the week"</f>
        <v>Raven must select 2 have nots for the week</v>
      </c>
    </row>
    <row r="1382" spans="1:7" x14ac:dyDescent="0.25">
      <c r="B1382" s="4">
        <f>$D$374</f>
        <v>50</v>
      </c>
      <c r="C1382">
        <f>E1386</f>
        <v>2</v>
      </c>
      <c r="G1382" s="1"/>
    </row>
    <row r="1383" spans="1:7" x14ac:dyDescent="0.25">
      <c r="C1383" t="str">
        <f ca="1">C1266</f>
        <v>Jessica</v>
      </c>
      <c r="G1383" s="1" t="s">
        <v>136</v>
      </c>
    </row>
    <row r="1384" spans="1:7" x14ac:dyDescent="0.25">
      <c r="G1384" s="1" t="str">
        <f ca="1">IF(F1385="",F1386&amp;" and "&amp;F1387,F1385&amp;" and "&amp;F1386)</f>
        <v>Mark and Jason</v>
      </c>
    </row>
    <row r="1385" spans="1:7" x14ac:dyDescent="0.25">
      <c r="A1385" t="str">
        <f ca="1">INDEX(Sheet4!B409:R409,MATCH(SMALL(Sheet4!B410:R410,1),Sheet4!B410:R410,0))</f>
        <v>Mark</v>
      </c>
      <c r="B1385">
        <f ca="1">IF($I$26="On",SMALL(Sheet4!B410:R410,1),RAND())</f>
        <v>14.404075662040396</v>
      </c>
      <c r="C1385">
        <f ca="1">IF(COUNTIF(C1383:C1384,A1385)&gt;=1,"",RAND())</f>
        <v>0.24529404123391829</v>
      </c>
      <c r="D1385">
        <f ca="1">IF(C1385="","",0.5)</f>
        <v>0.5</v>
      </c>
      <c r="E1385" s="1"/>
    </row>
    <row r="1386" spans="1:7" x14ac:dyDescent="0.25">
      <c r="A1386" t="str">
        <f ca="1">INDEX(Sheet4!B409:R409,MATCH(SMALL(Sheet4!B410:R410,2),Sheet4!B410:R410,0))</f>
        <v>Matt</v>
      </c>
      <c r="B1386">
        <f ca="1">IF($I$26="On",SMALL(Sheet4!B410:R410,2),RAND())</f>
        <v>16.041606218120869</v>
      </c>
      <c r="C1386">
        <f ca="1">IF(COUNTIF(C1383:C1384,A1386)&gt;=1,"",IF($I$26="On",IF(IF(D1385="",0.5,D1385+1)&lt;=C1382,RAND(),IF(B1386&gt;=B1382,"",RAND())),RAND()))</f>
        <v>0.81549681796652607</v>
      </c>
      <c r="D1386">
        <f ca="1">IF(C1386="","",IF(D1385="",0.5,SMALL(D1385,1)+1))</f>
        <v>1.5</v>
      </c>
      <c r="E1386" s="4">
        <v>2</v>
      </c>
      <c r="F1386" t="str">
        <f ca="1">INDEX(A1385:A1397,MATCH(SMALL(C1385:C1395,1),C1385:C1395,0))</f>
        <v>Mark</v>
      </c>
      <c r="G1386" s="2" t="s">
        <v>187</v>
      </c>
    </row>
    <row r="1387" spans="1:7" x14ac:dyDescent="0.25">
      <c r="A1387" t="str">
        <f ca="1">INDEX(Sheet4!B409:R409,MATCH(SMALL(Sheet4!B410:R410,3),Sheet4!B410:R410,0))</f>
        <v>Jason</v>
      </c>
      <c r="B1387">
        <f ca="1">IF($I$26="On",SMALL(Sheet4!B410:R410,3),RAND())</f>
        <v>26.449699295094824</v>
      </c>
      <c r="C1387">
        <f ca="1">IF(COUNTIF(C1383:C1384,A1387)&gt;=1,"",IF($I$26="On",IF(IF(COUNTIF(D1385:D1386,"")=2,0.5,LARGE(D1385:D1386,1)+1)&lt;=C1382,RAND(),IF(B1387&gt;=B1382,"",RAND())),RAND()))</f>
        <v>0.31292937828565115</v>
      </c>
      <c r="D1387">
        <f ca="1">IF(C1387="","",IF(COUNTIF(D1385:D1386,"")=2,0.5,LARGE(D1385:D1386,1)+1))</f>
        <v>2.5</v>
      </c>
      <c r="F1387" t="str">
        <f ca="1">IF(E1386=1,"",INDEX(A1385:A1397,MATCH(SMALL(C1385:C1395,2),C1385:C1395,0)))</f>
        <v>Jason</v>
      </c>
      <c r="G1387" t="s">
        <v>211</v>
      </c>
    </row>
    <row r="1388" spans="1:7" x14ac:dyDescent="0.25">
      <c r="A1388" t="str">
        <f ca="1">INDEX(Sheet4!B409:R409,MATCH(SMALL(Sheet4!B410:R410,4),Sheet4!B410:R410,0))</f>
        <v>Alex</v>
      </c>
      <c r="B1388">
        <f ca="1">IF($I$26="On",SMALL(Sheet4!B410:R410,4),RAND())</f>
        <v>27.072683409527087</v>
      </c>
      <c r="C1388">
        <f ca="1">IF(COUNTIF($C$1266:$C$1267,A1388)&gt;=1,"",IF($I$26="On",IF(B1388&gt;=$B$1265,"",RAND()),RAND()))</f>
        <v>0.3418538176660153</v>
      </c>
      <c r="F1388">
        <f ca="1">RAND()</f>
        <v>0.8080580973410787</v>
      </c>
      <c r="G1388" t="str">
        <f ca="1">IF(A1393=B1393,A1394,A1393)</f>
        <v>Save A Friend</v>
      </c>
    </row>
    <row r="1389" spans="1:7" x14ac:dyDescent="0.25">
      <c r="A1389" t="str">
        <f ca="1">INDEX(Sheet4!B409:R409,MATCH(SMALL(Sheet4!B410:R410,5),Sheet4!B410:R410,0))</f>
        <v>Cameron</v>
      </c>
      <c r="B1389">
        <f ca="1">IF($I$26="On",SMALL(Sheet4!B410:R410,5),RAND())</f>
        <v>47.409368445659858</v>
      </c>
      <c r="C1389">
        <f ca="1">IF(COUNTIF($C$1266:$C$1267,A1389)&gt;=1,"",IF($I$26="On",IF(B1389&gt;=$B$1265,"",RAND()),RAND()))</f>
        <v>0.68401796317073238</v>
      </c>
      <c r="E1389" t="str">
        <f>D1284</f>
        <v>Set Amount (Enter Amount)</v>
      </c>
      <c r="F1389">
        <f ca="1">RAND()</f>
        <v>0.90921600986840145</v>
      </c>
      <c r="G1389" t="str">
        <f ca="1">IF(G1388=A1394,A1395,IF(A1394=$B$1393,A1395,A1394))</f>
        <v>Can't Play In Next HOH</v>
      </c>
    </row>
    <row r="1390" spans="1:7" x14ac:dyDescent="0.25">
      <c r="A1390" t="str">
        <f ca="1">INDEX(Sheet4!B409:R409,MATCH(SMALL(Sheet4!B410:R410,6),Sheet4!B410:R410,0))</f>
        <v>Cody</v>
      </c>
      <c r="B1390">
        <f ca="1">IF($I$26="On",SMALL(Sheet4!B410:R410,6),RAND())</f>
        <v>73.03778757742748</v>
      </c>
      <c r="C1390" t="str">
        <f ca="1">IF(COUNTIF($C$1266:$C$1267,A1390)&gt;=1,"",IF($I$26="On",IF(B1390&gt;=$B$1265,"",RAND()),RAND()))</f>
        <v/>
      </c>
      <c r="E1390">
        <f>D1285</f>
        <v>100</v>
      </c>
      <c r="F1390">
        <f ca="1">RAND()</f>
        <v>0.21045674903576106</v>
      </c>
      <c r="G1390" t="str">
        <f ca="1">IF(G1389=A1395,A1396,IF(A1395=$B$1393,A1396,A1395))</f>
        <v>Eliminate 2 Eviction Votes</v>
      </c>
    </row>
    <row r="1391" spans="1:7" x14ac:dyDescent="0.25">
      <c r="A1391" t="str">
        <f ca="1">INDEX(Sheet4!B409:R409,MATCH(SMALL(Sheet4!B410:R410,7),Sheet4!B410:R410,0))</f>
        <v>Jessica</v>
      </c>
      <c r="B1391">
        <f ca="1">IF($I$26="On",SMALL(Sheet4!B410:R410,7),RAND())</f>
        <v>82.335943293871836</v>
      </c>
      <c r="C1391" t="str">
        <f ca="1">IF(COUNTIF($C$1266:$C$1267,A1391)&gt;=1,"",IF($I$26="On",IF(B1391&gt;=$B$1265,"",RAND()),RAND()))</f>
        <v/>
      </c>
      <c r="E1391">
        <f ca="1">IF($I$23="On",IF(E1389="Set Amount (Enter Amount)",IF(E1390&lt;=0,0,IF(E1390&gt;=100,1,E1390/100)),IF(E1389="Random, but same value",D1286,RAND())),RAND())</f>
        <v>1</v>
      </c>
      <c r="F1391">
        <f ca="1">RAND()</f>
        <v>0.49794562837291023</v>
      </c>
      <c r="G1391" t="str">
        <f ca="1">IF(G1390=A1396,A1397,IF(A1396=$B$1393,A1397,A1396))</f>
        <v>Bounty On Your Head ($5000 to HOH that gets you out)</v>
      </c>
    </row>
    <row r="1392" spans="1:7" x14ac:dyDescent="0.25">
      <c r="E1392">
        <f ca="1">RAND()</f>
        <v>0.32093691441708683</v>
      </c>
      <c r="F1392" t="str">
        <f ca="1">IF(G1392="","",RAND())</f>
        <v/>
      </c>
      <c r="G1392" t="str">
        <f ca="1">IF(G1391=A1397,"",IF(A1397=$B$1393,"",A1397))</f>
        <v/>
      </c>
    </row>
    <row r="1393" spans="1:7" x14ac:dyDescent="0.25">
      <c r="A1393" t="s">
        <v>193</v>
      </c>
      <c r="B1393" t="str">
        <f ca="1">G1287</f>
        <v>Second Veto</v>
      </c>
      <c r="E1393" t="str">
        <f ca="1">IF(E1392&lt;=E1391,"YES","NO")</f>
        <v>YES</v>
      </c>
    </row>
    <row r="1394" spans="1:7" x14ac:dyDescent="0.25">
      <c r="A1394" t="s">
        <v>194</v>
      </c>
      <c r="C1394" t="str">
        <f ca="1">D1289</f>
        <v>Matt</v>
      </c>
      <c r="D1394" t="str">
        <f ca="1">IF(C1394=G1350,"",C1394)</f>
        <v>Matt</v>
      </c>
      <c r="E1394" t="str">
        <f ca="1">IF(E1393="YES",INDEX(A1399:A1406,MATCH(LARGE(B1399:B1406,1),B1399:B1406,0)),"")</f>
        <v>Jason</v>
      </c>
      <c r="G1394" t="str">
        <f ca="1">"The twist is able to be picked by anyone"&amp;IF(D1399=0,"",", but "&amp;D1400)</f>
        <v>The twist is able to be picked by anyone, but Matt and Raven</v>
      </c>
    </row>
    <row r="1395" spans="1:7" x14ac:dyDescent="0.25">
      <c r="A1395" t="s">
        <v>195</v>
      </c>
      <c r="C1395" t="str">
        <f ca="1">IF(Popularity!F15="No",H1376,"")</f>
        <v>Raven</v>
      </c>
      <c r="D1395" t="str">
        <f ca="1">IF(C1395=G1350,"",C1395)</f>
        <v>Raven</v>
      </c>
    </row>
    <row r="1396" spans="1:7" x14ac:dyDescent="0.25">
      <c r="A1396" t="s">
        <v>196</v>
      </c>
      <c r="G1396" t="s">
        <v>212</v>
      </c>
    </row>
    <row r="1397" spans="1:7" x14ac:dyDescent="0.25">
      <c r="A1397" t="s">
        <v>197</v>
      </c>
      <c r="F1397" t="str">
        <f ca="1">IF(G1399=A1393,INDEX(A1399:A1405,MATCH(LARGE(C1399:C1405,1),C1399:C1405,0)),"")</f>
        <v/>
      </c>
      <c r="G1397" t="str">
        <f ca="1">IF(E1394="","",E1394&amp;" claims the apple")</f>
        <v>Jason claims the apple</v>
      </c>
    </row>
    <row r="1398" spans="1:7" x14ac:dyDescent="0.25">
      <c r="E1398" t="str">
        <f ca="1">H1376</f>
        <v>Raven</v>
      </c>
      <c r="F1398" t="str">
        <f ca="1">H1376</f>
        <v>Raven</v>
      </c>
      <c r="G1398" t="str">
        <f ca="1">IF(G1397="","","The apple selected is…")</f>
        <v>The apple selected is…</v>
      </c>
    </row>
    <row r="1399" spans="1:7" x14ac:dyDescent="0.25">
      <c r="A1399" t="str">
        <f ca="1">H1367</f>
        <v>Jason</v>
      </c>
      <c r="B1399">
        <f t="shared" ref="B1399:B1406" ca="1" si="219">IF(COUNTIF($C$1394:$C$1395,A1399)&gt;=1,"",RAND())</f>
        <v>0.8029781868518745</v>
      </c>
      <c r="C1399" t="str">
        <f ca="1">IF(E1394="","",IF(A1399=H1376,"",IF(A1399=$E$1394,"",IF($I$26="On",INDEX(Sheet4!$B$2:$R$18,MATCH(Game!E1394,Sheet4!$B$1:$R$1,0),MATCH(Game!A1399,Sheet4!$A$2:$A$18,0)),RAND()))))</f>
        <v/>
      </c>
      <c r="D1399">
        <f ca="1">IF(D1394="",0,1)+IF(OR(D1395=D1394,D1395=""),0,1)</f>
        <v>2</v>
      </c>
      <c r="E1399" t="str">
        <f ca="1">INDEX(A1385:A1391,MATCH(SMALL(B1385:B1391,1),B1385:B1391,0))</f>
        <v>Mark</v>
      </c>
      <c r="F1399" t="str">
        <f ca="1">IF(E1399=F1397,E1400,E1399)</f>
        <v>Mark</v>
      </c>
      <c r="G1399" t="str">
        <f ca="1">IF(G1397="","",INDEX(G1388:G1392,MATCH(LARGE(F1388:F1392,1),F1388:F1392,0)))</f>
        <v>Can't Play In Next HOH</v>
      </c>
    </row>
    <row r="1400" spans="1:7" x14ac:dyDescent="0.25">
      <c r="A1400" t="str">
        <f ca="1">IF(H1370="",F1367,H1370)</f>
        <v>Cameron</v>
      </c>
      <c r="B1400">
        <f t="shared" ca="1" si="219"/>
        <v>0.39269296899089667</v>
      </c>
      <c r="C1400">
        <f ca="1">IF(E1394="","",IF(A1400=H1376,"",IF(A1400=$E$1394,"",IF($I$26="On",INDEX(Sheet4!B2:R18,MATCH(Game!E1394,Sheet4!B1:R1,0),MATCH(Game!A1400,Sheet4!A2:A18,0)),RAND()))))</f>
        <v>51.20846826291703</v>
      </c>
      <c r="D1400" t="str">
        <f ca="1">IF(D1399=2,D1394&amp;" and "&amp;D1395,IF(D1394="",D1395,D1394))</f>
        <v>Matt and Raven</v>
      </c>
      <c r="E1400" t="str">
        <f ca="1">INDEX(A1385:A1391,MATCH(SMALL(B1385:B1391,2),B1385:B1391,0))</f>
        <v>Matt</v>
      </c>
      <c r="F1400" t="str">
        <f ca="1">IF(F1399=E1400,E1401,IF(E1400=$F$1397,E1401,E1400))</f>
        <v>Matt</v>
      </c>
    </row>
    <row r="1401" spans="1:7" x14ac:dyDescent="0.25">
      <c r="A1401" t="str">
        <f ca="1">H1371</f>
        <v>Alex</v>
      </c>
      <c r="B1401">
        <f t="shared" ca="1" si="219"/>
        <v>0.61225629552748551</v>
      </c>
      <c r="C1401">
        <f ca="1">IF(E1394="","",IF(A1401=H1376,"",IF(A1401=$E$1394,"",IF($I$26="On",INDEX(Sheet4!B2:R18,MATCH(Game!E1394,Sheet4!B1:R1,0),MATCH(Game!A1401,Sheet4!A2:A18,0)),RAND()))))</f>
        <v>9.0483330910820285</v>
      </c>
      <c r="E1401" t="str">
        <f ca="1">INDEX(A1385:A1391,MATCH(SMALL(B1385:B1391,3),B1385:B1391,0))</f>
        <v>Jason</v>
      </c>
      <c r="F1401" t="str">
        <f ca="1">IF(F1400=E1401,E1402,IF(E1401=$F$1397,E1402,E1401))</f>
        <v>Jason</v>
      </c>
      <c r="G1401" t="str">
        <f ca="1">IF(G1399="","",IF(G1399=A1393,E1394&amp;" saves "&amp;F1397,IF(G1399=A1394,E1394&amp;" can't play the next HOH",IF(G1399=A1395,E1394&amp;" may eliminate 2 eviction votes",IF(G1399=A1396,"The HOH that evicts "&amp;E1394&amp;" will win $5,000","There will be 2 veto winners this week")))))</f>
        <v>Jason can't play the next HOH</v>
      </c>
    </row>
    <row r="1402" spans="1:7" x14ac:dyDescent="0.25">
      <c r="A1402" t="str">
        <f ca="1">H1372</f>
        <v>Mark</v>
      </c>
      <c r="B1402">
        <f t="shared" ca="1" si="219"/>
        <v>5.4149388986702962E-2</v>
      </c>
      <c r="C1402">
        <f ca="1">IF(E1394="","",IF(A1402=H1376,"",IF(A1402=$E$1394,"",IF($I$26="On",INDEX(Sheet4!B2:R18,MATCH(Game!E1394,Sheet4!B1:R1,0),MATCH(Game!A1402,Sheet4!A2:A18,0)),RAND()))))</f>
        <v>44.172127759170287</v>
      </c>
      <c r="E1402" t="str">
        <f ca="1">INDEX(A1385:A1391,MATCH(SMALL(B1385:B1391,4),B1385:B1391,0))</f>
        <v>Alex</v>
      </c>
      <c r="F1402" t="str">
        <f ca="1">IF(F1401=E1402,E1403,IF(E1402=$F$1397,E1403,E1402))</f>
        <v>Alex</v>
      </c>
    </row>
    <row r="1403" spans="1:7" x14ac:dyDescent="0.25">
      <c r="A1403" t="str">
        <f ca="1">H1373</f>
        <v>Jessica</v>
      </c>
      <c r="B1403">
        <f t="shared" ca="1" si="219"/>
        <v>0.74889174118867063</v>
      </c>
      <c r="C1403">
        <f ca="1">IF(E1394="","",IF(A1403=H1376,"",IF(A1403=$E$1394,"",IF($I$26="On",INDEX(Sheet4!B2:R18,MATCH(Game!E1394,Sheet4!B1:R1,0),MATCH(Game!A1403,Sheet4!A2:A18,0)),RAND()))))</f>
        <v>29.453020126957629</v>
      </c>
      <c r="E1403" t="str">
        <f ca="1">INDEX(A1385:A1391,MATCH(SMALL(B1385:B1391,5),B1385:B1391,0))</f>
        <v>Cameron</v>
      </c>
      <c r="F1403" t="str">
        <f ca="1">IF(F1402=E1403,E1404,IF(E1403=$F$1397,E1404,E1403))</f>
        <v>Cameron</v>
      </c>
      <c r="G1403" s="2" t="s">
        <v>83</v>
      </c>
    </row>
    <row r="1404" spans="1:7" x14ac:dyDescent="0.25">
      <c r="A1404" t="str">
        <f ca="1">H1374</f>
        <v>Cody</v>
      </c>
      <c r="B1404">
        <f t="shared" ca="1" si="219"/>
        <v>0.33749715818698767</v>
      </c>
      <c r="C1404">
        <f ca="1">IF(E1394="","",IF(A1404=H1376,"",IF(A1404=$E$1394,"",IF($I$26="On",INDEX(Sheet4!B2:R18,MATCH(Game!E1394,Sheet4!B1:R1,0),MATCH(Game!A1404,Sheet4!A2:A18,0)),RAND()))))</f>
        <v>2.3561536018883249</v>
      </c>
      <c r="E1404" t="str">
        <f ca="1">INDEX(A1385:A1391,MATCH(SMALL(B1385:B1391,6),B1385:B1391,0))</f>
        <v>Cody</v>
      </c>
      <c r="F1404" t="str">
        <f ca="1">IF(F1403=E1404,E1405,IF(E1404=$F$1397,E1405,E1404))</f>
        <v>Cody</v>
      </c>
      <c r="G1404" t="str">
        <f ca="1">"The first person "&amp;E1398&amp;" has nominated is…"</f>
        <v>The first person Raven has nominated is…</v>
      </c>
    </row>
    <row r="1405" spans="1:7" x14ac:dyDescent="0.25">
      <c r="A1405" t="str">
        <f ca="1">H1375</f>
        <v>Matt</v>
      </c>
      <c r="B1405" t="str">
        <f t="shared" ca="1" si="219"/>
        <v/>
      </c>
      <c r="C1405">
        <f ca="1">IF(E1394="","",IF(A1405=H1376,"",IF(A1405=$E$1394,"",IF($I$26="On",INDEX(Sheet4!B2:R18,MATCH(Game!E1394,Sheet4!B1:R1,0),MATCH(Game!A1405,Sheet4!A2:A18,0)),RAND()))))</f>
        <v>74.428962462310309</v>
      </c>
      <c r="E1405" t="str">
        <f ca="1">INDEX(A1385:A1391,MATCH(SMALL(B1385:B1391,7),B1385:B1391,0))</f>
        <v>Jessica</v>
      </c>
      <c r="F1405">
        <f>Sheet4!$A$66</f>
        <v>65</v>
      </c>
      <c r="G1405" t="str">
        <f ca="1">F1399</f>
        <v>Mark</v>
      </c>
    </row>
    <row r="1406" spans="1:7" x14ac:dyDescent="0.25">
      <c r="A1406" t="str">
        <f ca="1">Game!H1376</f>
        <v>Raven</v>
      </c>
      <c r="B1406" t="str">
        <f t="shared" ca="1" si="219"/>
        <v/>
      </c>
      <c r="E1406" t="str">
        <f ca="1">F1399</f>
        <v>Mark</v>
      </c>
      <c r="F1406">
        <f ca="1">INDEX($E$1041:$E$1054,MATCH(E1406,$D$1041:$D$1054,0))</f>
        <v>14.404075662040396</v>
      </c>
      <c r="G1406" t="str">
        <f ca="1">"The second person "&amp;E1398&amp;" has nominated is…"</f>
        <v>The second person Raven has nominated is…</v>
      </c>
    </row>
    <row r="1407" spans="1:7" x14ac:dyDescent="0.25">
      <c r="E1407" t="str">
        <f ca="1">F1400</f>
        <v>Matt</v>
      </c>
      <c r="F1407">
        <f ca="1">INDEX($E$1041:$E$1054,MATCH(E1407,$D$1041:$D$1054,0))</f>
        <v>16.041606218120869</v>
      </c>
      <c r="G1407" t="str">
        <f ca="1">F1400</f>
        <v>Matt</v>
      </c>
    </row>
    <row r="1408" spans="1:7" x14ac:dyDescent="0.25">
      <c r="E1408">
        <f ca="1">COUNTIF(F1406:F1407,"&gt;="&amp;F1405)</f>
        <v>0</v>
      </c>
      <c r="F1408">
        <v>2</v>
      </c>
    </row>
    <row r="1409" spans="1:9" x14ac:dyDescent="0.25">
      <c r="F1409">
        <f ca="1">IF(F1408=2,IF(E1408=2,3.5,E1408+0.5),E1408+0.5)</f>
        <v>0.5</v>
      </c>
      <c r="G1409" s="2" t="s">
        <v>215</v>
      </c>
    </row>
    <row r="1410" spans="1:9" x14ac:dyDescent="0.25">
      <c r="A1410" t="str">
        <f t="shared" ref="A1410:A1417" ca="1" si="220">A1348</f>
        <v>Alex</v>
      </c>
      <c r="B1410">
        <f t="shared" ref="B1410:B1418" ca="1" si="221">IF(COUNTIF($F$1398:$F$1400,A1410)=1,"",RAND())</f>
        <v>3.6896057550067085E-2</v>
      </c>
      <c r="C1410">
        <f t="shared" ref="C1410:C1418" ca="1" si="222">IF(B1410="","",IF(COUNTIF($H$1410:$I$1410,A1410)=1,"",RAND()))</f>
        <v>0.4936618930029445</v>
      </c>
      <c r="D1410">
        <f t="shared" ref="D1410:D1418" ca="1" si="223">IF(C1410="","",IF(COUNTIF($H$1411:$I$1411,A1410)=1,"",RAND()))</f>
        <v>7.9683787985184495E-2</v>
      </c>
      <c r="E1410">
        <f t="shared" ref="E1410:E1417" ca="1" si="224">IF(COUNTIF($G$1419:$I$1420,A1410)=1,"",RAND())</f>
        <v>0.61883059024449893</v>
      </c>
      <c r="G1410" t="str">
        <f ca="1">F1398&amp;"-"</f>
        <v>Raven-</v>
      </c>
      <c r="H1410" s="29" t="str">
        <f ca="1">INDEX(A1410:A1418,MATCH(LARGE(B1410:B1418,1),B1410:B1418,0))</f>
        <v>Cameron</v>
      </c>
      <c r="I1410" s="29" t="str">
        <f ca="1">IF(H1410="HGC",IF($I$26="On",INDEX(A1422:A1427,MATCH(LARGE(B1422:B1427,1),B1422:B1427,0)),INDEX(A1410:A1418,MATCH(LARGE(B1410:B1418,2),B1410:B1418,0))),"")</f>
        <v/>
      </c>
    </row>
    <row r="1411" spans="1:9" x14ac:dyDescent="0.25">
      <c r="A1411" t="str">
        <f t="shared" ca="1" si="220"/>
        <v>Cameron</v>
      </c>
      <c r="B1411">
        <f t="shared" ca="1" si="221"/>
        <v>0.68329311694451289</v>
      </c>
      <c r="C1411" t="str">
        <f t="shared" ca="1" si="222"/>
        <v/>
      </c>
      <c r="D1411" t="str">
        <f t="shared" ca="1" si="223"/>
        <v/>
      </c>
      <c r="E1411" t="str">
        <f t="shared" ca="1" si="224"/>
        <v/>
      </c>
      <c r="G1411" t="str">
        <f ca="1">F1399&amp;"-"</f>
        <v>Mark-</v>
      </c>
      <c r="H1411" s="29" t="str">
        <f ca="1">INDEX(A1410:A1418,MATCH(LARGE(C1410:C1418,1),C1410:C1418,0))</f>
        <v>Cody</v>
      </c>
      <c r="I1411" s="29" t="str">
        <f ca="1">IF(H1411="HGC",IF($I$26="On",INDEX(C1422:C1427,MATCH(LARGE(D1422:D1427,1),D1422:D1427,0)),INDEX(A1410:A1418,MATCH(LARGE(C1410:C1418,2),C1410:C1418,0))),"")</f>
        <v/>
      </c>
    </row>
    <row r="1412" spans="1:9" x14ac:dyDescent="0.25">
      <c r="A1412" t="str">
        <f t="shared" ca="1" si="220"/>
        <v>Cody</v>
      </c>
      <c r="B1412">
        <f t="shared" ca="1" si="221"/>
        <v>0.507145165101762</v>
      </c>
      <c r="C1412">
        <f t="shared" ca="1" si="222"/>
        <v>0.91413612681484702</v>
      </c>
      <c r="D1412" t="str">
        <f t="shared" ca="1" si="223"/>
        <v/>
      </c>
      <c r="E1412" t="str">
        <f t="shared" ca="1" si="224"/>
        <v/>
      </c>
      <c r="G1412" t="str">
        <f ca="1">F1400&amp;"-"</f>
        <v>Matt-</v>
      </c>
      <c r="H1412" s="29" t="str">
        <f ca="1">INDEX(A1410:A1418,MATCH(LARGE(D1410:D1418,1),D1410:D1418,0))</f>
        <v>HGC</v>
      </c>
      <c r="I1412" s="29" t="str">
        <f ca="1">IF(H1412="HGC",IF($I$26="On",INDEX(E1422:E1428,MATCH(LARGE(F1422:F1428,1),F1422:F1428,0)),INDEX(A1410:A1418,MATCH(LARGE(D1410:D1418,2),D1410:D1418,0))),"")</f>
        <v>Jason</v>
      </c>
    </row>
    <row r="1413" spans="1:9" x14ac:dyDescent="0.25">
      <c r="A1413" t="str">
        <f t="shared" ca="1" si="220"/>
        <v>Jason</v>
      </c>
      <c r="B1413">
        <f t="shared" ca="1" si="221"/>
        <v>0.44788360918722059</v>
      </c>
      <c r="C1413">
        <f t="shared" ca="1" si="222"/>
        <v>0.16995167045385806</v>
      </c>
      <c r="D1413">
        <f t="shared" ca="1" si="223"/>
        <v>3.3418249688014545E-2</v>
      </c>
      <c r="E1413" t="str">
        <f t="shared" ca="1" si="224"/>
        <v/>
      </c>
    </row>
    <row r="1414" spans="1:9" x14ac:dyDescent="0.25">
      <c r="A1414" t="str">
        <f t="shared" ca="1" si="220"/>
        <v>Jessica</v>
      </c>
      <c r="B1414">
        <f t="shared" ca="1" si="221"/>
        <v>0.46196630695865415</v>
      </c>
      <c r="C1414">
        <f t="shared" ca="1" si="222"/>
        <v>0.57935104112624003</v>
      </c>
      <c r="D1414">
        <f t="shared" ca="1" si="223"/>
        <v>0.20042078784210293</v>
      </c>
      <c r="E1414">
        <f t="shared" ca="1" si="224"/>
        <v>0.15791416293564053</v>
      </c>
      <c r="G1414" s="1" t="str">
        <f ca="1">IF(F1420="Yes",F1418&amp;" stands up and decides to use The Ring of Replacement","")</f>
        <v/>
      </c>
    </row>
    <row r="1415" spans="1:9" x14ac:dyDescent="0.25">
      <c r="A1415" t="str">
        <f t="shared" ca="1" si="220"/>
        <v>Mark</v>
      </c>
      <c r="B1415" t="str">
        <f t="shared" ca="1" si="221"/>
        <v/>
      </c>
      <c r="C1415" t="str">
        <f t="shared" ca="1" si="222"/>
        <v/>
      </c>
      <c r="D1415" t="str">
        <f t="shared" ca="1" si="223"/>
        <v/>
      </c>
      <c r="E1415" t="str">
        <f t="shared" ca="1" si="224"/>
        <v/>
      </c>
      <c r="G1415" s="1" t="str">
        <f ca="1">IF(G1414="","",F1418&amp;" uses it to replace…")</f>
        <v/>
      </c>
    </row>
    <row r="1416" spans="1:9" x14ac:dyDescent="0.25">
      <c r="A1416" t="str">
        <f t="shared" ca="1" si="220"/>
        <v>Matt</v>
      </c>
      <c r="B1416" t="str">
        <f t="shared" ca="1" si="221"/>
        <v/>
      </c>
      <c r="C1416" t="str">
        <f t="shared" ca="1" si="222"/>
        <v/>
      </c>
      <c r="D1416" t="str">
        <f t="shared" ca="1" si="223"/>
        <v/>
      </c>
      <c r="E1416" t="str">
        <f t="shared" ca="1" si="224"/>
        <v/>
      </c>
      <c r="G1416" s="1" t="str">
        <f ca="1">IF(G1415="","",INDEX(A1429:A1431,MATCH(SMALL(B1429:B1431,1),B1429:B1431,0)))</f>
        <v/>
      </c>
    </row>
    <row r="1417" spans="1:9" x14ac:dyDescent="0.25">
      <c r="A1417" t="str">
        <f t="shared" ca="1" si="220"/>
        <v>Raven</v>
      </c>
      <c r="B1417" t="str">
        <f t="shared" ca="1" si="221"/>
        <v/>
      </c>
      <c r="C1417" t="str">
        <f t="shared" ca="1" si="222"/>
        <v/>
      </c>
      <c r="D1417" t="str">
        <f t="shared" ca="1" si="223"/>
        <v/>
      </c>
      <c r="E1417" t="str">
        <f t="shared" ca="1" si="224"/>
        <v/>
      </c>
    </row>
    <row r="1418" spans="1:9" x14ac:dyDescent="0.25">
      <c r="A1418" t="s">
        <v>89</v>
      </c>
      <c r="B1418">
        <f t="shared" ca="1" si="221"/>
        <v>0.15368790994345449</v>
      </c>
      <c r="C1418">
        <f t="shared" ca="1" si="222"/>
        <v>0.52971179006612068</v>
      </c>
      <c r="D1418">
        <f t="shared" ca="1" si="223"/>
        <v>0.67224336968260534</v>
      </c>
      <c r="F1418" s="1" t="str">
        <f ca="1">$G$387</f>
        <v>Raven</v>
      </c>
      <c r="G1418" s="2" t="s">
        <v>106</v>
      </c>
    </row>
    <row r="1419" spans="1:9" x14ac:dyDescent="0.25">
      <c r="F1419" s="1" t="str">
        <f ca="1">IF(F1305="","",IF(G1302&lt;&gt;"","",IF(COUNTIF(G1350,F1418)=1,"",IF(COUNTIF(F1398:F1400,F1418)+COUNTIF(H1410:I1412,F1418)=1,"IN",IF(I138="On",RANDBETWEEN(1,3),RANDBETWEEN(1,2))))))</f>
        <v/>
      </c>
      <c r="G1419" s="29" t="str">
        <f ca="1">H1376</f>
        <v>Raven</v>
      </c>
      <c r="H1419" s="29" t="str">
        <f ca="1">G1405</f>
        <v>Mark</v>
      </c>
      <c r="I1419" s="29" t="str">
        <f ca="1">G1407</f>
        <v>Matt</v>
      </c>
    </row>
    <row r="1420" spans="1:9" x14ac:dyDescent="0.25">
      <c r="F1420" t="str">
        <f ca="1">IF(F1419="","",IF(F1419="IN","No",IF($I$26="On",IF(F1419&lt;=F1409,"Yes","No"),IF(F1419=1,"Yes","No"))))</f>
        <v/>
      </c>
      <c r="G1420" s="29" t="str">
        <f ca="1">IF(A1429=G1416,F1418,A1429)</f>
        <v>Cameron</v>
      </c>
      <c r="H1420" s="29" t="str">
        <f ca="1">IF(A1430=G1416,F1418,A1430)</f>
        <v>Cody</v>
      </c>
      <c r="I1420" s="29" t="str">
        <f ca="1">IF(A1431=G1416,F1418,A1431)</f>
        <v>Jason</v>
      </c>
    </row>
    <row r="1421" spans="1:9" x14ac:dyDescent="0.25">
      <c r="A1421" t="str">
        <f ca="1">F1398</f>
        <v>Raven</v>
      </c>
      <c r="C1421" t="str">
        <f ca="1">F1399</f>
        <v>Mark</v>
      </c>
      <c r="E1421" t="str">
        <f ca="1">F1400</f>
        <v>Matt</v>
      </c>
      <c r="G1421" t="s">
        <v>107</v>
      </c>
      <c r="H1421" t="str">
        <f ca="1">INDEX(A1410:A1418,MATCH(LARGE(E1410:E1418,1),E1410:E1418,0))</f>
        <v>Alex</v>
      </c>
    </row>
    <row r="1422" spans="1:9" x14ac:dyDescent="0.25">
      <c r="A1422" t="str">
        <f ca="1">INDEX($A1410:$A1417,MATCH(LARGE(B1410:B1417,1),B1410:B1417,0))</f>
        <v>Cameron</v>
      </c>
      <c r="B1422">
        <f ca="1">INDEX(Sheet4!$B$2:$R$18,MATCH(Game!A1422,Sheet4!$A$2:$A$18,0),MATCH(Game!A$1421,Sheet4!$B$1:$R$1,0))</f>
        <v>47.409368445659858</v>
      </c>
      <c r="C1422" t="str">
        <f ca="1">INDEX($A1410:$A1417,MATCH(LARGE(C1410:C1417,1),C1410:C1417,0))</f>
        <v>Cody</v>
      </c>
      <c r="D1422">
        <f ca="1">INDEX(Sheet4!$B$2:$R$18,MATCH(Game!C1422,Sheet4!$A$2:$A$18,0),MATCH(Game!C$1421,Sheet4!$B$1:$R$1,0))</f>
        <v>24.230698123089187</v>
      </c>
      <c r="E1422" t="str">
        <f ca="1">INDEX($A1410:$A1417,MATCH(LARGE(D1410:D1417,1),D1410:D1417,0))</f>
        <v>Jessica</v>
      </c>
      <c r="F1422">
        <f ca="1">INDEX(Sheet4!$B$2:$R$18,MATCH(Game!E1422,Sheet4!$A$2:$A$18,0),MATCH(Game!E$1421,Sheet4!$B$1:$R$1,0))</f>
        <v>43.093973233306507</v>
      </c>
      <c r="G1422" t="str">
        <f ca="1">IF(G1399=G1394,"The top 2 will win veto!","")</f>
        <v/>
      </c>
    </row>
    <row r="1423" spans="1:9" x14ac:dyDescent="0.25">
      <c r="A1423" t="str">
        <f ca="1">INDEX($A1410:$A1417,MATCH(LARGE(B1410:B1417,2),B1410:B1417,0))</f>
        <v>Cody</v>
      </c>
      <c r="B1423">
        <f ca="1">INDEX(Sheet4!$B$2:$R$18,MATCH(Game!A1423,Sheet4!$A$2:$A$18,0),MATCH(Game!A$1421,Sheet4!$B$1:$R$1,0))</f>
        <v>73.03778757742748</v>
      </c>
      <c r="C1423" t="str">
        <f ca="1">INDEX($A1410:$A1417,MATCH(LARGE(C1410:C1417,2),C1410:C1417,0))</f>
        <v>Jessica</v>
      </c>
      <c r="D1423">
        <f ca="1">INDEX(Sheet4!$B$2:$R$18,MATCH(Game!C1423,Sheet4!$A$2:$A$18,0),MATCH(Game!C$1421,Sheet4!$B$1:$R$1,0))</f>
        <v>59.282946937072587</v>
      </c>
      <c r="E1423" t="str">
        <f ca="1">INDEX($A1410:$A1417,MATCH(LARGE(D1410:D1417,2),D1410:D1417,0))</f>
        <v>Alex</v>
      </c>
      <c r="F1423">
        <f ca="1">INDEX(Sheet4!$B$2:$R$18,MATCH(Game!E1423,Sheet4!$A$2:$A$18,0),MATCH(Game!E$1421,Sheet4!$B$1:$R$1,0))</f>
        <v>1.3087948788959189</v>
      </c>
    </row>
    <row r="1424" spans="1:9" x14ac:dyDescent="0.25">
      <c r="A1424" t="str">
        <f ca="1">INDEX($A1410:$A1417,MATCH(LARGE(B1410:B1417,3),B1410:B1417,0))</f>
        <v>Jessica</v>
      </c>
      <c r="B1424">
        <f ca="1">INDEX(Sheet4!$B$2:$R$18,MATCH(Game!A1424,Sheet4!$A$2:$A$18,0),MATCH(Game!A$1421,Sheet4!$B$1:$R$1,0))</f>
        <v>82.335943293871836</v>
      </c>
      <c r="C1424" t="str">
        <f ca="1">INDEX($A1410:$A1417,MATCH(LARGE(C1410:C1417,3),C1410:C1417,0))</f>
        <v>Alex</v>
      </c>
      <c r="D1424">
        <f ca="1">INDEX(Sheet4!$B$2:$R$18,MATCH(Game!C1424,Sheet4!$A$2:$A$18,0),MATCH(Game!C$1421,Sheet4!$B$1:$R$1,0))</f>
        <v>76.31237136960803</v>
      </c>
      <c r="E1424" t="str">
        <f ca="1">INDEX($A1410:$A1417,MATCH(LARGE(D1410:D1417,3),D1410:D1417,0))</f>
        <v>Jason</v>
      </c>
      <c r="F1424">
        <f ca="1">INDEX(Sheet4!$B$2:$R$18,MATCH(Game!E1424,Sheet4!$A$2:$A$18,0),MATCH(Game!E$1421,Sheet4!$B$1:$R$1,0))</f>
        <v>84.449421673651997</v>
      </c>
      <c r="G1424" t="s">
        <v>48</v>
      </c>
      <c r="H1424" t="str">
        <f ca="1">INDEX(E1431:E1436,MATCH(SMALL(F1431:F1436,1),F1431:F1436,0))</f>
        <v>Matt</v>
      </c>
    </row>
    <row r="1425" spans="1:8" x14ac:dyDescent="0.25">
      <c r="A1425" t="str">
        <f ca="1">INDEX($A1410:$A1417,MATCH(LARGE(B1410:B1417,4),B1410:B1417,0))</f>
        <v>Jason</v>
      </c>
      <c r="B1425">
        <f ca="1">INDEX(Sheet4!$B$2:$R$18,MATCH(Game!A1425,Sheet4!$A$2:$A$18,0),MATCH(Game!A$1421,Sheet4!$B$1:$R$1,0))</f>
        <v>26.449699295094824</v>
      </c>
      <c r="C1425" t="str">
        <f ca="1">INDEX($A1410:$A1417,MATCH(LARGE(C1410:C1417,4),C1410:C1417,0))</f>
        <v>Jason</v>
      </c>
      <c r="D1425">
        <f ca="1">INDEX(Sheet4!$B$2:$R$18,MATCH(Game!C1425,Sheet4!$A$2:$A$18,0),MATCH(Game!C$1421,Sheet4!$B$1:$R$1,0))</f>
        <v>45.249910546888039</v>
      </c>
      <c r="G1425" t="s">
        <v>49</v>
      </c>
      <c r="H1425" t="str">
        <f ca="1">INDEX(E1431:E1436,MATCH(SMALL(F1431:F1436,2),F1431:F1436,0))</f>
        <v>Mark</v>
      </c>
    </row>
    <row r="1426" spans="1:8" x14ac:dyDescent="0.25">
      <c r="A1426" t="str">
        <f ca="1">INDEX($A1410:$A1417,MATCH(LARGE(B1410:B1417,5),B1410:B1417,0))</f>
        <v>Alex</v>
      </c>
      <c r="B1426">
        <f ca="1">INDEX(Sheet4!$B$2:$R$18,MATCH(Game!A1426,Sheet4!$A$2:$A$18,0),MATCH(Game!A$1421,Sheet4!$B$1:$R$1,0))</f>
        <v>27.072683409527087</v>
      </c>
      <c r="G1426" t="s">
        <v>50</v>
      </c>
      <c r="H1426" t="str">
        <f ca="1">INDEX(E1431:E1436,MATCH(SMALL(F1431:F1436,3),F1431:F1436,0))</f>
        <v>Cameron</v>
      </c>
    </row>
    <row r="1427" spans="1:8" x14ac:dyDescent="0.25">
      <c r="G1427" t="s">
        <v>52</v>
      </c>
      <c r="H1427" t="str">
        <f ca="1">INDEX(E1431:E1436,MATCH(SMALL(F1431:F1436,4),F1431:F1436,0))</f>
        <v>Cody</v>
      </c>
    </row>
    <row r="1428" spans="1:8" x14ac:dyDescent="0.25">
      <c r="G1428" t="s">
        <v>53</v>
      </c>
      <c r="H1428" t="str">
        <f ca="1">INDEX(E1431:E1436,MATCH(SMALL(F1431:F1436,5),F1431:F1436,0))</f>
        <v>Jason</v>
      </c>
    </row>
    <row r="1429" spans="1:8" x14ac:dyDescent="0.25">
      <c r="A1429" t="str">
        <f ca="1">IF(H1410="HGC",I1410,H1410)</f>
        <v>Cameron</v>
      </c>
      <c r="B1429">
        <f ca="1">IF(I26="On",INDEX($E$1041:$E$1054,MATCH(A1429,$D$1041:$D$1054,0)),RAND())</f>
        <v>47.409368445659858</v>
      </c>
      <c r="G1429" t="s">
        <v>54</v>
      </c>
      <c r="H1429" t="str">
        <f ca="1">INDEX(E1431:E1436,MATCH(SMALL(F1431:F1436,6),F1431:F1436,0))</f>
        <v>Raven</v>
      </c>
    </row>
    <row r="1430" spans="1:8" x14ac:dyDescent="0.25">
      <c r="A1430" t="str">
        <f ca="1">IF(H1411="HGC",I1411,H1411)</f>
        <v>Cody</v>
      </c>
      <c r="B1430">
        <f ca="1">IF(I26="On",INDEX($E$1041:$E$1054,MATCH(A1430,$D$1041:$D$1054,0)),RAND())</f>
        <v>73.03778757742748</v>
      </c>
      <c r="D1430" t="str">
        <f ca="1">IF(F1399=G1434,F1400,F1399)</f>
        <v>Mark</v>
      </c>
      <c r="E1430">
        <f ca="1">IF(D1431="Neither Nominee",RANDBETWEEN(1,2),RANDBETWEEN(1,4))</f>
        <v>2</v>
      </c>
      <c r="F1430">
        <f ca="1">RANDBETWEEN(1,4)</f>
        <v>4</v>
      </c>
      <c r="G1430" t="str">
        <f ca="1">"Congratulations, "&amp;H1429&amp;IF(G1399=A1397," and "&amp;H1428,"")</f>
        <v>Congratulations, Raven</v>
      </c>
    </row>
    <row r="1431" spans="1:8" x14ac:dyDescent="0.25">
      <c r="A1431" t="str">
        <f ca="1">IF(H1412="HGC",I1412,H1412)</f>
        <v>Jason</v>
      </c>
      <c r="B1431">
        <f ca="1">IF(I26="On",INDEX($E$1041:$E$1054,MATCH(A1431,$D$1041:$D$1054,0)),RAND())</f>
        <v>26.449699295094824</v>
      </c>
      <c r="D1431" t="str">
        <f ca="1">IF(D1430=F1400,"Neither Nominee",IF(F1400=G1434,"Neither Nominee",F1400))</f>
        <v>Matt</v>
      </c>
      <c r="E1431" t="str">
        <f ca="1">G1419</f>
        <v>Raven</v>
      </c>
      <c r="F1431">
        <f t="shared" ref="F1431:F1436" ca="1" si="225">RAND()</f>
        <v>0.99476038568407765</v>
      </c>
    </row>
    <row r="1432" spans="1:8" x14ac:dyDescent="0.25">
      <c r="E1432" t="str">
        <f ca="1">H1419</f>
        <v>Mark</v>
      </c>
      <c r="F1432">
        <f t="shared" ca="1" si="225"/>
        <v>0.37002103485311633</v>
      </c>
      <c r="G1432" s="2" t="s">
        <v>111</v>
      </c>
    </row>
    <row r="1433" spans="1:8" x14ac:dyDescent="0.25">
      <c r="E1433" t="str">
        <f ca="1">I1419</f>
        <v>Matt</v>
      </c>
      <c r="F1433">
        <f t="shared" ca="1" si="225"/>
        <v>0.34676448421535366</v>
      </c>
      <c r="G1433" t="str">
        <f ca="1">H1429&amp;" has decided to use the POV to save"</f>
        <v>Raven has decided to use the POV to save</v>
      </c>
    </row>
    <row r="1434" spans="1:8" x14ac:dyDescent="0.25">
      <c r="D1434" t="str">
        <f ca="1">H1429</f>
        <v>Raven</v>
      </c>
      <c r="E1434" t="str">
        <f ca="1">G1420</f>
        <v>Cameron</v>
      </c>
      <c r="F1434">
        <f t="shared" ca="1" si="225"/>
        <v>0.56624387333008164</v>
      </c>
      <c r="G1434" t="str">
        <f ca="1">IF($I$26="On",Sheet4!C416,IF(COUNTIF(F1399:F1400,H1429)=1,H1429,IF(F1430=1,F1399,IF(F1430=2,F1400,"Neither Nominee"))))</f>
        <v>Neither Nominee</v>
      </c>
    </row>
    <row r="1435" spans="1:8" x14ac:dyDescent="0.25">
      <c r="D1435" t="str">
        <f ca="1">IF(G1399=A1397,H1428,"")</f>
        <v/>
      </c>
      <c r="E1435" t="str">
        <f ca="1">H1420</f>
        <v>Cody</v>
      </c>
      <c r="F1435">
        <f t="shared" ca="1" si="225"/>
        <v>0.63163297560797982</v>
      </c>
      <c r="G1435" t="str">
        <f ca="1">IF(G1399=A1397,H1428&amp;" has decided to use the POV to save","")</f>
        <v/>
      </c>
    </row>
    <row r="1436" spans="1:8" x14ac:dyDescent="0.25">
      <c r="D1436">
        <f ca="1">IF(G1434="Neither Nominee",0,1)</f>
        <v>0</v>
      </c>
      <c r="E1436" t="str">
        <f ca="1">I1420</f>
        <v>Jason</v>
      </c>
      <c r="F1436">
        <f t="shared" ca="1" si="225"/>
        <v>0.91162102916065302</v>
      </c>
      <c r="G1436" t="str">
        <f ca="1">IF(G1435="","",IF($I$26="On",Sheet4!A419,IF(COUNTIF(D1430:D1431,H1428)=1,H1428,IF(E1430=1,D1430,IF(E1430=2,D1431,"Neither Nominee")))))</f>
        <v/>
      </c>
    </row>
    <row r="1437" spans="1:8" x14ac:dyDescent="0.25">
      <c r="D1437">
        <f ca="1">IF(G1436="",0,IF(G1436="Neither Nominee",0,1))</f>
        <v>0</v>
      </c>
      <c r="G1437" t="str">
        <f ca="1">IF(D1438=0,"This POV Ceremony is adjourned",H1376&amp;" has decided to put up")</f>
        <v>This POV Ceremony is adjourned</v>
      </c>
    </row>
    <row r="1438" spans="1:8" x14ac:dyDescent="0.25">
      <c r="D1438">
        <f ca="1">D1436+D1437</f>
        <v>0</v>
      </c>
      <c r="E1438" t="str">
        <f ca="1">F1401</f>
        <v>Jason</v>
      </c>
      <c r="F1438">
        <f ca="1">IF(COUNTIF(G1434:G1436,E1438)+COUNTIF(D1434:D1435,E1438)=1,"",0.1)</f>
        <v>0.1</v>
      </c>
      <c r="G1438" t="str">
        <f ca="1">IF(D1438&gt;=1,INDEX(E1438:E1441,MATCH(SMALL(F1438:F1441,1),F1438:F1441,0)),"")</f>
        <v/>
      </c>
    </row>
    <row r="1439" spans="1:8" x14ac:dyDescent="0.25">
      <c r="E1439" t="str">
        <f ca="1">F1402</f>
        <v>Alex</v>
      </c>
      <c r="F1439">
        <f ca="1">IF(COUNTIF(G1434:G1436,E1439)+COUNTIF(D1434:D1435,E1439)=1,"",0.2)</f>
        <v>0.2</v>
      </c>
      <c r="G1439" t="str">
        <f ca="1">IF(D1438=2,INDEX(E1438:E1441,MATCH(SMALL(F1438:F1441,2),F1438:F1441,0)),"")</f>
        <v/>
      </c>
    </row>
    <row r="1440" spans="1:8" x14ac:dyDescent="0.25">
      <c r="E1440" t="str">
        <f ca="1">F1403</f>
        <v>Cameron</v>
      </c>
      <c r="F1440">
        <f ca="1">IF(COUNTIF(G1434:G1436,E1440)+COUNTIF(D1434:D1435,E1440)=1,"",0.3)</f>
        <v>0.3</v>
      </c>
      <c r="G1440" t="s">
        <v>152</v>
      </c>
    </row>
    <row r="1441" spans="1:8" x14ac:dyDescent="0.25">
      <c r="E1441" t="str">
        <f ca="1">F1404</f>
        <v>Cody</v>
      </c>
      <c r="F1441">
        <f ca="1">IF(COUNTIF(G1434:G1436,E1441)+COUNTIF(D1434:D1435,E1441)=1,"",0.4)</f>
        <v>0.4</v>
      </c>
      <c r="G1441" t="str">
        <f ca="1">IF(D1438=2,G1438,IF(COUNTIF(G1434:G1436,F1399)=1,G1438,F1399))</f>
        <v>Mark</v>
      </c>
    </row>
    <row r="1442" spans="1:8" x14ac:dyDescent="0.25">
      <c r="G1442" t="str">
        <f ca="1">IF(D1438=2,G1439,IF(COUNTIF(G1434:G1436,F1400)=1,G1438,F1400))</f>
        <v>Matt</v>
      </c>
    </row>
    <row r="1444" spans="1:8" x14ac:dyDescent="0.25">
      <c r="G1444" s="2" t="s">
        <v>114</v>
      </c>
    </row>
    <row r="1445" spans="1:8" x14ac:dyDescent="0.25">
      <c r="B1445" t="str">
        <f ca="1">IF(G1399=A1395,E1394,"")</f>
        <v/>
      </c>
      <c r="F1445" s="29" t="str">
        <f ca="1">H1376</f>
        <v>Raven</v>
      </c>
      <c r="G1445" s="29" t="str">
        <f ca="1">G1441</f>
        <v>Mark</v>
      </c>
      <c r="H1445" s="29" t="str">
        <f ca="1">G1442</f>
        <v>Matt</v>
      </c>
    </row>
    <row r="1447" spans="1:8" x14ac:dyDescent="0.25">
      <c r="A1447" t="str">
        <f t="shared" ref="A1447:A1454" ca="1" si="226">A1348</f>
        <v>Alex</v>
      </c>
      <c r="B1447">
        <f ca="1">IF(COUNTIF(F1445:H1445,A1447)=1,"",0.01)</f>
        <v>0.01</v>
      </c>
      <c r="C1447" t="str">
        <f ca="1">IF(B1447="","",IF(B1445="","",INDEX(Sheet4!$B$2:$R$18,MATCH(Game!B1445,Sheet4!$B$1:$R$1,0),MATCH(Game!A1447,Sheet4!$A$2:$A$18,0))))</f>
        <v/>
      </c>
      <c r="D1447">
        <f ca="1">IF(B1447="","",IF(COUNTIF(C1459:C1460,A1447)=1,"",RAND()))</f>
        <v>0.78896907011347583</v>
      </c>
      <c r="G1447" t="str">
        <f ca="1">IF(G1399=A1395,E1394&amp;" can eliminate 2 eviction votes","")</f>
        <v/>
      </c>
    </row>
    <row r="1448" spans="1:8" x14ac:dyDescent="0.25">
      <c r="A1448" t="str">
        <f t="shared" ca="1" si="226"/>
        <v>Cameron</v>
      </c>
      <c r="B1448">
        <f ca="1">IF(COUNTIF(F1445:H1445,A1448)=1,"",0.02)</f>
        <v>0.02</v>
      </c>
      <c r="C1448" t="str">
        <f ca="1">IF(B1448="","",IF(B1445="","",INDEX(Sheet4!$B$2:$R$18,MATCH(Game!B1445,Sheet4!$B$1:$R$1,0),MATCH(Game!A1448,Sheet4!$A$2:$A$18,0))))</f>
        <v/>
      </c>
      <c r="D1448">
        <f ca="1">IF(B1448="","",IF(COUNTIF(C1459:C1460,A1448)=1,"",RAND()))</f>
        <v>0.93459281418341178</v>
      </c>
      <c r="G1448" t="str">
        <f ca="1">IF(G1447="","",B1445&amp;" blocks the votes of "&amp;C1459&amp;" and "&amp;C1460)</f>
        <v/>
      </c>
    </row>
    <row r="1449" spans="1:8" x14ac:dyDescent="0.25">
      <c r="A1449" t="str">
        <f t="shared" ca="1" si="226"/>
        <v>Cody</v>
      </c>
      <c r="B1449">
        <f ca="1">IF(COUNTIF(F1445:H1445,A1449)=1,"",0.03)</f>
        <v>0.03</v>
      </c>
      <c r="C1449" t="str">
        <f ca="1">IF(B1449="","",IF(B1445="","",INDEX(Sheet4!$B$2:$R$18,MATCH(Game!B1445,Sheet4!$B$1:$R$1,0),MATCH(Game!A1449,Sheet4!$A$2:$A$18,0))))</f>
        <v/>
      </c>
      <c r="D1449">
        <f ca="1">IF(B1449="","",IF(COUNTIF(C1459:C1460,A1449)=1,"",RAND()))</f>
        <v>0.53936698171720188</v>
      </c>
    </row>
    <row r="1450" spans="1:8" x14ac:dyDescent="0.25">
      <c r="A1450" t="str">
        <f t="shared" ca="1" si="226"/>
        <v>Jason</v>
      </c>
      <c r="B1450">
        <f ca="1">IF(COUNTIF(F1445:H1445,A1450)=1,"",0.04)</f>
        <v>0.04</v>
      </c>
      <c r="C1450" t="str">
        <f ca="1">IF(B1450="","",IF(B1445="","",INDEX(Sheet4!$B$2:$R$18,MATCH(Game!B1445,Sheet4!$B$1:$R$1,0),MATCH(Game!A1450,Sheet4!$A$2:$A$18,0))))</f>
        <v/>
      </c>
      <c r="D1450">
        <f ca="1">IF(B1450="","",IF(COUNTIF(C1459:C1460,A1450)=1,"",RAND()))</f>
        <v>0.73733533848455968</v>
      </c>
      <c r="F1450" t="str">
        <f ca="1">INDEX(A1447:A1455,MATCH(LARGE(D1447:D1455,1),D1447:D1455,0))</f>
        <v>Jessica</v>
      </c>
      <c r="G1450" t="str">
        <f ca="1">F1450&amp;"-"</f>
        <v>Jessica-</v>
      </c>
      <c r="H1450" t="str">
        <f ca="1">IF($I$26="On",INDEX(Sheet4!B424:R424,MATCH(Game!F1450,Sheet4!B421:R421,0)),IF(RANDBETWEEN(1,2)=1,Game!G1445,Game!H1445))</f>
        <v>Matt</v>
      </c>
    </row>
    <row r="1451" spans="1:8" x14ac:dyDescent="0.25">
      <c r="A1451" t="str">
        <f t="shared" ca="1" si="226"/>
        <v>Jessica</v>
      </c>
      <c r="B1451">
        <f ca="1">IF(COUNTIF(F1445:H1445,A1451)=1,"",0.05)</f>
        <v>0.05</v>
      </c>
      <c r="C1451" t="str">
        <f ca="1">IF(B1451="","",IF(B1445="","",INDEX(Sheet4!$B$2:$R$18,MATCH(Game!B1445,Sheet4!$B$1:$R$1,0),MATCH(Game!A1451,Sheet4!$A$2:$A$18,0))))</f>
        <v/>
      </c>
      <c r="D1451">
        <f ca="1">IF(B1451="","",IF(COUNTIF(C1459:C1460,A1451)=1,"",RAND()))</f>
        <v>0.94455722368920791</v>
      </c>
      <c r="F1451" t="str">
        <f ca="1">INDEX(A1447:A1455,MATCH(LARGE(D1447:D1455,2),D1447:D1455,0))</f>
        <v>Cameron</v>
      </c>
      <c r="G1451" t="str">
        <f ca="1">F1451&amp;"-"</f>
        <v>Cameron-</v>
      </c>
      <c r="H1451" t="str">
        <f ca="1">IF($I$26="On",INDEX(Sheet4!B424:R424,MATCH(Game!F1451,Sheet4!B421:R421,0)),IF(RANDBETWEEN(1,2)=1,Game!G1445,Game!H1445))</f>
        <v>Mark</v>
      </c>
    </row>
    <row r="1452" spans="1:8" x14ac:dyDescent="0.25">
      <c r="A1452" t="str">
        <f t="shared" ca="1" si="226"/>
        <v>Mark</v>
      </c>
      <c r="B1452" t="str">
        <f ca="1">IF(COUNTIF(F1445:H1445,A1452)=1,"",0.06)</f>
        <v/>
      </c>
      <c r="C1452" t="str">
        <f ca="1">IF(B1452="","",IF(B1445="","",INDEX(Sheet4!$B$2:$R$18,MATCH(Game!B1445,Sheet4!$B$1:$R$1,0),MATCH(Game!A1452,Sheet4!$A$2:$A$18,0))))</f>
        <v/>
      </c>
      <c r="D1452" t="str">
        <f ca="1">IF(B1452="","",IF(COUNTIF(C1459:C1460,A1452)=1,"",RAND()))</f>
        <v/>
      </c>
      <c r="F1452" t="str">
        <f ca="1">INDEX(A1447:A1455,MATCH(LARGE(D1447:D1455,3),D1447:D1455,0))</f>
        <v>Alex</v>
      </c>
      <c r="G1452" t="str">
        <f ca="1">F1452&amp;"-"</f>
        <v>Alex-</v>
      </c>
      <c r="H1452" t="str">
        <f ca="1">IF($I$26="On",INDEX(Sheet4!B424:R424,MATCH(Game!F1452,Sheet4!B421:R421,0)),IF(RANDBETWEEN(1,2)=1,Game!G1445,Game!H1445))</f>
        <v>Matt</v>
      </c>
    </row>
    <row r="1453" spans="1:8" x14ac:dyDescent="0.25">
      <c r="A1453" t="str">
        <f t="shared" ca="1" si="226"/>
        <v>Matt</v>
      </c>
      <c r="B1453" t="str">
        <f ca="1">IF(COUNTIF(F1445:H1445,A1453)=1,"",0.07)</f>
        <v/>
      </c>
      <c r="C1453" t="str">
        <f ca="1">IF(B1453="","",IF(B1445="","",INDEX(Sheet4!$B$2:$R$18,MATCH(Game!B1445,Sheet4!$B$1:$R$1,0),MATCH(Game!A1453,Sheet4!$A$2:$A$18,0))))</f>
        <v/>
      </c>
      <c r="D1453" t="str">
        <f ca="1">IF(B1453="","",IF(COUNTIF(C1459:C1460,A1453)=1,"",RAND()))</f>
        <v/>
      </c>
      <c r="F1453" t="str">
        <f ca="1">IF(B1445="",INDEX(A1447:A1455,MATCH(LARGE(D1447:D1455,4),D1447:D1455,0)),"")</f>
        <v>Jason</v>
      </c>
      <c r="G1453" t="str">
        <f ca="1">IF(F1453="","",F1453&amp;"-")</f>
        <v>Jason-</v>
      </c>
      <c r="H1453" t="str">
        <f ca="1">IF(F1453="","",IF($I$26="On",INDEX(Sheet4!B424:R424,MATCH(Game!F1453,Sheet4!B421:R421,0)),IF(RANDBETWEEN(1,2)=1,Game!G1445,Game!H1445)))</f>
        <v>Mark</v>
      </c>
    </row>
    <row r="1454" spans="1:8" x14ac:dyDescent="0.25">
      <c r="A1454" t="str">
        <f t="shared" ca="1" si="226"/>
        <v>Raven</v>
      </c>
      <c r="B1454" t="str">
        <f ca="1">IF(COUNTIF(F1445:H1445,A1454)=1,"",0.08)</f>
        <v/>
      </c>
      <c r="C1454" t="str">
        <f ca="1">IF(B1454="","",IF(B1445="","",INDEX(Sheet4!$B$2:$R$18,MATCH(Game!B1445,Sheet4!$B$1:$R$1,0),MATCH(Game!A1454,Sheet4!$A$2:$A$18,0))))</f>
        <v/>
      </c>
      <c r="D1454" t="str">
        <f ca="1">IF(B1454="","",IF(COUNTIF(C1459:C1460,A1454)=1,"",RAND()))</f>
        <v/>
      </c>
      <c r="F1454" t="str">
        <f ca="1">IF(B1445="",INDEX(A1447:A1455,MATCH(LARGE(D1447:D1455,5),D1447:D1455,0)),"")</f>
        <v>Cody</v>
      </c>
      <c r="G1454" t="str">
        <f ca="1">IF(F1454="","",F1454&amp;"-")</f>
        <v>Cody-</v>
      </c>
      <c r="H1454" t="str">
        <f ca="1">IF(F1454="","",IF($I$26="On",INDEX(Sheet4!B424:R424,MATCH(Game!F1454,Sheet4!B421:R421,0)),IF(RANDBETWEEN(1,2)=1,Game!G1445,Game!H1445)))</f>
        <v>Mark</v>
      </c>
    </row>
    <row r="1457" spans="1:12" x14ac:dyDescent="0.25">
      <c r="C1457" t="str">
        <f ca="1">IF(B1445="","",INDEX(A1447:A1455,MATCH(SMALL(C1447:C1455,1),C1447:C1455,0)))</f>
        <v/>
      </c>
      <c r="D1457" t="str">
        <f ca="1">G1441</f>
        <v>Mark</v>
      </c>
      <c r="E1457">
        <f ca="1">COUNTIF(H1450:H1455,D1457)</f>
        <v>3</v>
      </c>
    </row>
    <row r="1458" spans="1:12" x14ac:dyDescent="0.25">
      <c r="C1458" t="str">
        <f ca="1">IF(B1445="","",INDEX(A1447:A1455,MATCH(SMALL(C1447:C1455,2),C1447:C1455,0)))</f>
        <v/>
      </c>
      <c r="D1458" t="str">
        <f ca="1">G1442</f>
        <v>Matt</v>
      </c>
      <c r="E1458">
        <f ca="1">COUNTIF(H1450:H1455,D1458)</f>
        <v>2</v>
      </c>
    </row>
    <row r="1459" spans="1:12" x14ac:dyDescent="0.25">
      <c r="C1459" t="str">
        <f ca="1">IF(C1458&lt;C1457,C1458,C1457)</f>
        <v/>
      </c>
    </row>
    <row r="1460" spans="1:12" x14ac:dyDescent="0.25">
      <c r="A1460" t="str">
        <f ca="1">IF(A1348=G1462,A1349,A1348)</f>
        <v>Alex</v>
      </c>
      <c r="C1460" t="str">
        <f ca="1">IF(C1459=C1458,C1457,C1458)</f>
        <v/>
      </c>
    </row>
    <row r="1461" spans="1:12" x14ac:dyDescent="0.25">
      <c r="A1461" t="str">
        <f t="shared" ref="A1461:A1466" ca="1" si="227">IF(A1460=A1349,A1350,IF(A1349=$G$1462,A1350,A1349))</f>
        <v>Cameron</v>
      </c>
      <c r="F1461" t="str">
        <f ca="1">IF(G1287=D1281,D1289,"")</f>
        <v/>
      </c>
      <c r="G1461" t="str">
        <f ca="1">"By a vote of "&amp;LARGE(E1457:E1458,1)&amp;"-"&amp;SMALL(E1457:E1458,1)</f>
        <v>By a vote of 3-2</v>
      </c>
    </row>
    <row r="1462" spans="1:12" x14ac:dyDescent="0.25">
      <c r="A1462" t="str">
        <f t="shared" ca="1" si="227"/>
        <v>Cody</v>
      </c>
      <c r="F1462" t="str">
        <f ca="1">IF(G1399=A1396,E1394,"")</f>
        <v/>
      </c>
      <c r="G1462" t="str">
        <f ca="1">INDEX(D1457:D1458,MATCH(LARGE(E1457:E1458,1),E1457:E1458,0))</f>
        <v>Mark</v>
      </c>
    </row>
    <row r="1463" spans="1:12" x14ac:dyDescent="0.25">
      <c r="A1463" t="str">
        <f t="shared" ca="1" si="227"/>
        <v>Jason</v>
      </c>
      <c r="G1463" t="s">
        <v>62</v>
      </c>
    </row>
    <row r="1464" spans="1:12" x14ac:dyDescent="0.25">
      <c r="A1464" t="str">
        <f t="shared" ca="1" si="227"/>
        <v>Jessica</v>
      </c>
    </row>
    <row r="1465" spans="1:12" x14ac:dyDescent="0.25">
      <c r="A1465" t="str">
        <f t="shared" ca="1" si="227"/>
        <v>Matt</v>
      </c>
      <c r="G1465" t="str">
        <f ca="1">IF(COUNTIF(F1461:F1462,G1462)=1,F1445&amp;" gets $5,000 for taking the bounty out","")</f>
        <v/>
      </c>
    </row>
    <row r="1466" spans="1:12" x14ac:dyDescent="0.25">
      <c r="A1466" t="str">
        <f t="shared" ca="1" si="227"/>
        <v>Raven</v>
      </c>
    </row>
    <row r="1467" spans="1:12" x14ac:dyDescent="0.25">
      <c r="G1467" s="2" t="s">
        <v>216</v>
      </c>
    </row>
    <row r="1468" spans="1:12" x14ac:dyDescent="0.25">
      <c r="G1468" s="16" t="str">
        <f ca="1">A1460</f>
        <v>Alex</v>
      </c>
      <c r="H1468" s="16" t="str">
        <f ca="1">A1461</f>
        <v>Cameron</v>
      </c>
      <c r="I1468" s="16" t="str">
        <f ca="1">A1462</f>
        <v>Cody</v>
      </c>
      <c r="J1468" s="16" t="str">
        <f ca="1">A1463</f>
        <v>Jason</v>
      </c>
      <c r="K1468" s="16" t="str">
        <f ca="1">A1464</f>
        <v>Jessica</v>
      </c>
      <c r="L1468" s="10"/>
    </row>
    <row r="1469" spans="1:12" x14ac:dyDescent="0.25">
      <c r="G1469" s="24" t="str">
        <f ca="1">IF(COUNTIF($B$1470:$F$1471,G1468)=0,"","HOH - "&amp;COUNTIF($B$1470:$F$1471,G1468))</f>
        <v/>
      </c>
      <c r="H1469" s="24" t="str">
        <f ca="1">IF(COUNTIF($B$1470:$F$1471,H1468)=0,"","HOH - "&amp;COUNTIF($B$1470:$F$1471,H1468))</f>
        <v/>
      </c>
      <c r="I1469" s="24" t="str">
        <f ca="1">IF(COUNTIF($B$1470:$F$1471,I1468)=0,"","HOH - "&amp;COUNTIF($B$1470:$F$1471,I1468))</f>
        <v>HOH - 1</v>
      </c>
      <c r="J1469" s="24" t="str">
        <f ca="1">IF(COUNTIF($B$1470:$F$1471,J1468)=0,"","HOH - "&amp;COUNTIF($B$1470:$F$1471,J1468))</f>
        <v>HOH - 1</v>
      </c>
      <c r="K1469" s="24" t="str">
        <f ca="1">IF(COUNTIF($B$1470:$F$1471,K1468)=0,"","HOH - "&amp;COUNTIF($B$1470:$F$1471,K1468))</f>
        <v>HOH - 1</v>
      </c>
      <c r="L1469" s="10"/>
    </row>
    <row r="1470" spans="1:12" x14ac:dyDescent="0.25">
      <c r="B1470" t="str">
        <f ca="1">B1358</f>
        <v>Raven</v>
      </c>
      <c r="C1470" t="str">
        <f ca="1">C1358</f>
        <v>Josh</v>
      </c>
      <c r="D1470" t="str">
        <f ca="1">D1358</f>
        <v>Ramses</v>
      </c>
      <c r="E1470" t="str">
        <f ca="1">E1358</f>
        <v>Cody</v>
      </c>
      <c r="F1470" t="str">
        <f ca="1">F1358</f>
        <v>Josh</v>
      </c>
      <c r="G1470" s="24" t="str">
        <f ca="1">IF(COUNTIF($B$1472:$F$1474,G1468)=0,"","POV - "&amp;COUNTIF($B$1472:$F$1474,G1468))</f>
        <v/>
      </c>
      <c r="H1470" s="24" t="str">
        <f ca="1">IF(COUNTIF($B$1472:$F$1474,H1468)=0,"","POV - "&amp;COUNTIF($B$1472:$F$1474,H1468))</f>
        <v/>
      </c>
      <c r="I1470" s="24" t="str">
        <f ca="1">IF(COUNTIF($B$1472:$F$1474,I1468)=0,"","POV - "&amp;COUNTIF($B$1472:$F$1474,I1468))</f>
        <v>POV - 2</v>
      </c>
      <c r="J1470" s="24" t="str">
        <f ca="1">IF(COUNTIF($B$1472:$F$1474,J1468)=0,"","POV - "&amp;COUNTIF($B$1472:$F$1474,J1468))</f>
        <v>POV - 1</v>
      </c>
      <c r="K1470" s="24" t="str">
        <f ca="1">IF(COUNTIF($B$1472:$F$1474,K1468)=0,"","POV - "&amp;COUNTIF($B$1472:$F$1474,K1468))</f>
        <v/>
      </c>
      <c r="L1470" s="10"/>
    </row>
    <row r="1471" spans="1:12" x14ac:dyDescent="0.25">
      <c r="B1471" t="str">
        <f t="shared" ref="B1471:E1471" ca="1" si="228">B1359</f>
        <v>Christmas</v>
      </c>
      <c r="C1471" t="str">
        <f t="shared" ca="1" si="228"/>
        <v>Raven</v>
      </c>
      <c r="D1471" t="str">
        <f t="shared" ca="1" si="228"/>
        <v>Jessica</v>
      </c>
      <c r="E1471" t="str">
        <f t="shared" ca="1" si="228"/>
        <v>Jason</v>
      </c>
      <c r="F1471" t="str">
        <f ca="1">H1376</f>
        <v>Raven</v>
      </c>
      <c r="G1471" s="16" t="str">
        <f ca="1">A1465</f>
        <v>Matt</v>
      </c>
      <c r="H1471" s="16" t="str">
        <f ca="1">A1466</f>
        <v>Raven</v>
      </c>
      <c r="I1471" s="19" t="str">
        <f ca="1">G1462</f>
        <v>Mark</v>
      </c>
      <c r="J1471" s="19" t="str">
        <f ca="1">J1359</f>
        <v>Christmas</v>
      </c>
      <c r="K1471" s="19" t="str">
        <f t="shared" ref="K1471:L1471" ca="1" si="229">K1359</f>
        <v>Megan</v>
      </c>
      <c r="L1471" s="19" t="str">
        <f t="shared" ca="1" si="229"/>
        <v>Jillian</v>
      </c>
    </row>
    <row r="1472" spans="1:12" x14ac:dyDescent="0.25">
      <c r="B1472" t="str">
        <f t="shared" ref="B1472:F1472" ca="1" si="230">B1360</f>
        <v>Christmas</v>
      </c>
      <c r="C1472" t="str">
        <f t="shared" ca="1" si="230"/>
        <v>Christmas</v>
      </c>
      <c r="D1472" t="str">
        <f t="shared" ca="1" si="230"/>
        <v>Elena</v>
      </c>
      <c r="E1472" t="str">
        <f t="shared" ca="1" si="230"/>
        <v>Megan</v>
      </c>
      <c r="F1472" t="str">
        <f t="shared" ca="1" si="230"/>
        <v>Raven</v>
      </c>
      <c r="G1472" s="24" t="str">
        <f ca="1">IF(COUNTIF($B$1470:$F$1471,G1471)=0,"","HOH - "&amp;COUNTIF($B$1470:$F$1471,G1471))</f>
        <v/>
      </c>
      <c r="H1472" s="24" t="str">
        <f ca="1">IF(COUNTIF($B$1470:$F$1471,H1471)=0,"","HOH - "&amp;COUNTIF($B$1470:$F$1471,H1471))</f>
        <v>HOH - 3</v>
      </c>
      <c r="I1472" s="31" t="str">
        <f ca="1">IF(COUNTIF($B$1470:$F$1471,I1471)=0,"","HOH - "&amp;COUNTIF($B$1470:$F$1471,I1471))</f>
        <v/>
      </c>
      <c r="J1472" s="31" t="str">
        <f t="shared" ref="J1472:L1472" ca="1" si="231">J1360</f>
        <v>HOH - 1</v>
      </c>
      <c r="K1472" s="31" t="str">
        <f t="shared" ca="1" si="231"/>
        <v/>
      </c>
      <c r="L1472" s="31" t="str">
        <f t="shared" ca="1" si="231"/>
        <v/>
      </c>
    </row>
    <row r="1473" spans="1:12" x14ac:dyDescent="0.25">
      <c r="B1473" t="str">
        <f t="shared" ref="B1473:F1473" ca="1" si="232">B1361</f>
        <v>Cody</v>
      </c>
      <c r="C1473" t="str">
        <f t="shared" ca="1" si="232"/>
        <v>Megan</v>
      </c>
      <c r="D1473" t="str">
        <f t="shared" ca="1" si="232"/>
        <v>Mark</v>
      </c>
      <c r="E1473" t="str">
        <f t="shared" ca="1" si="232"/>
        <v>Jason</v>
      </c>
      <c r="F1473" t="str">
        <f t="shared" ca="1" si="232"/>
        <v>Cody</v>
      </c>
      <c r="G1473" s="24" t="str">
        <f ca="1">IF(COUNTIF($B$1472:$F$1474,G1471)=0,"","POV - "&amp;COUNTIF($B$1472:$F$1474,G1471))</f>
        <v/>
      </c>
      <c r="H1473" s="24" t="str">
        <f ca="1">IF(COUNTIF($B$1472:$F$1474,H1471)=0,"","POV - "&amp;COUNTIF($B$1472:$F$1474,H1471))</f>
        <v>POV - 2</v>
      </c>
      <c r="I1473" s="33" t="str">
        <f ca="1">IF(COUNTIF($B$1472:$F$1474,I1471)=0,"","POV - "&amp;COUNTIF($B$1472:$F$1474,I1471))</f>
        <v>POV - 1</v>
      </c>
      <c r="J1473" s="33" t="str">
        <f t="shared" ref="J1473:L1473" ca="1" si="233">J1361</f>
        <v>POV - 2</v>
      </c>
      <c r="K1473" s="33" t="str">
        <f t="shared" ca="1" si="233"/>
        <v>POV - 2</v>
      </c>
      <c r="L1473" s="33" t="str">
        <f t="shared" ca="1" si="233"/>
        <v/>
      </c>
    </row>
    <row r="1474" spans="1:12" x14ac:dyDescent="0.25">
      <c r="B1474" t="str">
        <f ca="1">D1434</f>
        <v>Raven</v>
      </c>
      <c r="C1474" t="str">
        <f ca="1">D1435</f>
        <v/>
      </c>
      <c r="G1474" s="19" t="str">
        <f t="shared" ref="G1474:J1474" ca="1" si="234">G1362</f>
        <v>Josh</v>
      </c>
      <c r="H1474" s="19" t="str">
        <f t="shared" ca="1" si="234"/>
        <v>Elena</v>
      </c>
      <c r="I1474" s="19" t="str">
        <f t="shared" ca="1" si="234"/>
        <v>Ramses</v>
      </c>
      <c r="J1474" s="19" t="str">
        <f t="shared" ca="1" si="234"/>
        <v>Paul</v>
      </c>
      <c r="K1474" s="30" t="str">
        <f t="shared" ref="K1474:L1476" ca="1" si="235">K1362</f>
        <v>Kevin</v>
      </c>
      <c r="L1474" s="19" t="str">
        <f t="shared" ca="1" si="235"/>
        <v>Dominique</v>
      </c>
    </row>
    <row r="1475" spans="1:12" x14ac:dyDescent="0.25">
      <c r="G1475" s="31" t="str">
        <f t="shared" ref="G1475:I1475" ca="1" si="236">G1363</f>
        <v>HOH - 2</v>
      </c>
      <c r="H1475" s="31" t="str">
        <f t="shared" ca="1" si="236"/>
        <v/>
      </c>
      <c r="I1475" s="31" t="str">
        <f t="shared" ca="1" si="236"/>
        <v>HOH - 1</v>
      </c>
      <c r="J1475" s="31" t="str">
        <f ca="1">J1363</f>
        <v/>
      </c>
      <c r="K1475" s="32" t="str">
        <f t="shared" ca="1" si="235"/>
        <v/>
      </c>
      <c r="L1475" s="31" t="str">
        <f t="shared" ca="1" si="235"/>
        <v/>
      </c>
    </row>
    <row r="1476" spans="1:12" x14ac:dyDescent="0.25">
      <c r="G1476" s="33" t="str">
        <f t="shared" ref="G1476:I1476" ca="1" si="237">G1364</f>
        <v/>
      </c>
      <c r="H1476" s="33" t="str">
        <f t="shared" ca="1" si="237"/>
        <v>POV - 1</v>
      </c>
      <c r="I1476" s="33" t="str">
        <f t="shared" ca="1" si="237"/>
        <v/>
      </c>
      <c r="J1476" s="33" t="str">
        <f ca="1">J1364</f>
        <v/>
      </c>
      <c r="K1476" s="34" t="str">
        <f t="shared" ca="1" si="235"/>
        <v/>
      </c>
      <c r="L1476" s="33" t="str">
        <f t="shared" ca="1" si="235"/>
        <v/>
      </c>
    </row>
    <row r="1478" spans="1:12" x14ac:dyDescent="0.25">
      <c r="E1478" t="str">
        <f ca="1">IF(F1478="","",IF(H1367=F1478,IF(H1367=G1462,"",F1478&amp;" cannot compete in this HOH"),""))</f>
        <v/>
      </c>
      <c r="F1478" t="str">
        <f ca="1">IF(G1287=G1279,IF(D1289=H1260,H1260,""),"")</f>
        <v/>
      </c>
      <c r="G1478" s="2" t="s">
        <v>65</v>
      </c>
    </row>
    <row r="1479" spans="1:12" x14ac:dyDescent="0.25">
      <c r="E1479" t="str">
        <f ca="1">IF(F1479="","",IF(F1479=H1479,H1479&amp;" cannot compete in the next HOH, next week",F1479&amp;" cannot compete in this HOH"))</f>
        <v>Jason cannot compete in this HOH</v>
      </c>
      <c r="F1479" t="str">
        <f ca="1">IF(G1399=A1394,IF(E1394=G1462,"",E1394),"")</f>
        <v>Jason</v>
      </c>
      <c r="G1479" t="s">
        <v>130</v>
      </c>
      <c r="H1479" t="str">
        <f ca="1">H1376</f>
        <v>Raven</v>
      </c>
    </row>
    <row r="1480" spans="1:12" x14ac:dyDescent="0.25">
      <c r="G1480" t="str">
        <f ca="1">IF(E1478="",IF(E1479="","",E1479),E1478)</f>
        <v>Jason cannot compete in this HOH</v>
      </c>
    </row>
    <row r="1482" spans="1:12" x14ac:dyDescent="0.25">
      <c r="A1482" t="str">
        <f t="shared" ref="A1482:A1488" ca="1" si="238">A1460</f>
        <v>Alex</v>
      </c>
      <c r="B1482">
        <f t="shared" ref="B1482:B1488" ca="1" si="239">IF(COUNTIF($F$1478:$H$1479,A1482)&gt;=1,"",RAND())</f>
        <v>0.47653504461452156</v>
      </c>
      <c r="G1482" t="str">
        <f ca="1">IF(COUNTIF(B1482:B1488,"")=2,"","6th-")</f>
        <v/>
      </c>
      <c r="H1482" t="str">
        <f ca="1">IF(G1482="","",INDEX(A1482:A1490,MATCH(LARGE(B1482:B1490,6),B1482:B1490,0)))</f>
        <v/>
      </c>
    </row>
    <row r="1483" spans="1:12" x14ac:dyDescent="0.25">
      <c r="A1483" t="str">
        <f t="shared" ca="1" si="238"/>
        <v>Cameron</v>
      </c>
      <c r="B1483">
        <f t="shared" ca="1" si="239"/>
        <v>5.5237179021995875E-2</v>
      </c>
      <c r="G1483" t="s">
        <v>49</v>
      </c>
      <c r="H1483" t="str">
        <f ca="1">INDEX(A1482:A1490,MATCH(LARGE(B1482:B1490,5),B1482:B1490,0))</f>
        <v>Cameron</v>
      </c>
    </row>
    <row r="1484" spans="1:12" x14ac:dyDescent="0.25">
      <c r="A1484" t="str">
        <f t="shared" ca="1" si="238"/>
        <v>Cody</v>
      </c>
      <c r="B1484">
        <f t="shared" ca="1" si="239"/>
        <v>0.66602085663548438</v>
      </c>
      <c r="G1484" t="s">
        <v>50</v>
      </c>
      <c r="H1484" t="str">
        <f ca="1">INDEX(A1482:A1490,MATCH(LARGE(B1482:B1490,4),B1482:B1490,0))</f>
        <v>Matt</v>
      </c>
    </row>
    <row r="1485" spans="1:12" x14ac:dyDescent="0.25">
      <c r="A1485" t="str">
        <f t="shared" ca="1" si="238"/>
        <v>Jason</v>
      </c>
      <c r="B1485" t="str">
        <f t="shared" ca="1" si="239"/>
        <v/>
      </c>
      <c r="G1485" t="s">
        <v>52</v>
      </c>
      <c r="H1485" t="str">
        <f ca="1">INDEX(A1482:A1490,MATCH(LARGE(B1482:B1490,3),B1482:B1490,0))</f>
        <v>Alex</v>
      </c>
    </row>
    <row r="1486" spans="1:12" x14ac:dyDescent="0.25">
      <c r="A1486" t="str">
        <f t="shared" ca="1" si="238"/>
        <v>Jessica</v>
      </c>
      <c r="B1486">
        <f t="shared" ca="1" si="239"/>
        <v>0.58572754920465953</v>
      </c>
      <c r="G1486" t="s">
        <v>53</v>
      </c>
      <c r="H1486" t="str">
        <f ca="1">INDEX(A1482:A1490,MATCH(LARGE(B1482:B1490,2),B1482:B1490,0))</f>
        <v>Jessica</v>
      </c>
    </row>
    <row r="1487" spans="1:12" x14ac:dyDescent="0.25">
      <c r="A1487" t="str">
        <f t="shared" ca="1" si="238"/>
        <v>Matt</v>
      </c>
      <c r="B1487">
        <f t="shared" ca="1" si="239"/>
        <v>0.13555447767043172</v>
      </c>
      <c r="G1487" t="s">
        <v>54</v>
      </c>
      <c r="H1487" t="str">
        <f ca="1">INDEX(A1482:A1490,MATCH(LARGE(B1482:B1490,1),B1482:B1490,0))</f>
        <v>Cody</v>
      </c>
    </row>
    <row r="1488" spans="1:12" x14ac:dyDescent="0.25">
      <c r="A1488" t="str">
        <f t="shared" ca="1" si="238"/>
        <v>Raven</v>
      </c>
      <c r="B1488" t="str">
        <f t="shared" ca="1" si="239"/>
        <v/>
      </c>
      <c r="G1488" t="str">
        <f ca="1">"Congratulations, "&amp;H1487</f>
        <v>Congratulations, Cody</v>
      </c>
    </row>
    <row r="1490" spans="1:7" x14ac:dyDescent="0.25">
      <c r="G1490" s="2" t="s">
        <v>85</v>
      </c>
    </row>
    <row r="1491" spans="1:7" x14ac:dyDescent="0.25">
      <c r="G1491" t="s">
        <v>218</v>
      </c>
    </row>
    <row r="1492" spans="1:7" x14ac:dyDescent="0.25">
      <c r="A1492" t="str">
        <f ca="1">INDEX(Sheet4!B426:R426,MATCH(SMALL(Sheet4!B427:R427,1),Sheet4!B427:R427,0))</f>
        <v>Alex</v>
      </c>
      <c r="B1492">
        <f ca="1">IF($I$26="On",SMALL(Sheet4!B427:R427,1),RAND())</f>
        <v>23.434421387666173</v>
      </c>
      <c r="E1492" s="1"/>
    </row>
    <row r="1493" spans="1:7" x14ac:dyDescent="0.25">
      <c r="A1493" t="str">
        <f ca="1">INDEX(Sheet4!B426:R426,MATCH(SMALL(Sheet4!B427:R427,2),Sheet4!B427:R427,0))</f>
        <v>Jason</v>
      </c>
      <c r="B1493">
        <f ca="1">IF($I$26="On",SMALL(Sheet4!B427:R427,2),RAND())</f>
        <v>41.238479804029616</v>
      </c>
      <c r="E1493" s="4">
        <v>2</v>
      </c>
      <c r="G1493" s="2" t="s">
        <v>187</v>
      </c>
    </row>
    <row r="1494" spans="1:7" x14ac:dyDescent="0.25">
      <c r="A1494" t="str">
        <f ca="1">INDEX(Sheet4!B426:R426,MATCH(SMALL(Sheet4!B427:R427,3),Sheet4!B427:R427,0))</f>
        <v>Jessica</v>
      </c>
      <c r="B1494">
        <f ca="1">IF($I$26="On",SMALL(Sheet4!B427:R427,3),RAND())</f>
        <v>46.28551811425136</v>
      </c>
      <c r="G1494" t="s">
        <v>211</v>
      </c>
    </row>
    <row r="1495" spans="1:7" x14ac:dyDescent="0.25">
      <c r="A1495" t="str">
        <f ca="1">INDEX(Sheet4!B426:R426,MATCH(SMALL(Sheet4!B427:R427,4),Sheet4!B427:R427,0))</f>
        <v>Cameron</v>
      </c>
      <c r="B1495">
        <f ca="1">IF($I$26="On",SMALL(Sheet4!B427:R427,4),RAND())</f>
        <v>69.289969172023191</v>
      </c>
      <c r="D1495" t="str">
        <f>E1389</f>
        <v>Set Amount (Enter Amount)</v>
      </c>
      <c r="F1495">
        <f ca="1">RAND()</f>
        <v>2.8750690878927565E-2</v>
      </c>
      <c r="G1495" t="str">
        <f ca="1">INDEX(A1500:A1504,MATCH(SMALL(B1500:B1504,1),B1500:B1504,0))</f>
        <v>Save A Friend</v>
      </c>
    </row>
    <row r="1496" spans="1:7" x14ac:dyDescent="0.25">
      <c r="A1496" t="str">
        <f ca="1">INDEX(Sheet4!B426:R426,MATCH(SMALL(Sheet4!B427:R427,5),Sheet4!B427:R427,0))</f>
        <v>Raven</v>
      </c>
      <c r="B1496">
        <f ca="1">IF($I$26="On",SMALL(Sheet4!B427:R427,5),RAND())</f>
        <v>73.03778757742748</v>
      </c>
      <c r="D1496">
        <f>E1390</f>
        <v>100</v>
      </c>
      <c r="F1496">
        <f ca="1">RAND()</f>
        <v>0.23445369557266627</v>
      </c>
      <c r="G1496" t="str">
        <f ca="1">INDEX(A1500:A1504,MATCH(SMALL(B1500:B1504,2),B1500:B1504,0))</f>
        <v>Eliminate 2 Eviction Votes</v>
      </c>
    </row>
    <row r="1497" spans="1:7" x14ac:dyDescent="0.25">
      <c r="A1497" t="str">
        <f ca="1">INDEX(Sheet4!B426:R426,MATCH(SMALL(Sheet4!B427:R427,6),Sheet4!B427:R427,0))</f>
        <v>Matt</v>
      </c>
      <c r="B1497">
        <f ca="1">IF($I$26="On",SMALL(Sheet4!B427:R427,6),RAND())</f>
        <v>77.161630741743451</v>
      </c>
      <c r="D1497">
        <f ca="1">IF($I$23="On",IF(D1495="Set Amount (Enter Amount)",IF(D1496&lt;=0,0,IF(D1496&gt;=100,1,D1496/100)),IF(D1495="Random, but same value",E1391,RAND())),RAND())</f>
        <v>1</v>
      </c>
      <c r="F1497">
        <f ca="1">RAND()</f>
        <v>0.11127533311002857</v>
      </c>
      <c r="G1497" t="str">
        <f ca="1">INDEX(A1500:A1504,MATCH(SMALL(B1500:B1504,3),B1500:B1504,0))</f>
        <v>Bounty On Your Head ($5000 to HOH that gets you out)</v>
      </c>
    </row>
    <row r="1498" spans="1:7" x14ac:dyDescent="0.25">
      <c r="D1498">
        <f ca="1">RAND()</f>
        <v>0.1418798223741663</v>
      </c>
      <c r="F1498" t="str">
        <f ca="1">IF(G1498="","",RAND())</f>
        <v/>
      </c>
      <c r="G1498" t="str">
        <f ca="1">IF(COUNTIF(B1500:B1504,"")&gt;=2,"",INDEX(A1500:A1504,MATCH(SMALL(B1500:B1504,4),B1500:B1504,0)))</f>
        <v/>
      </c>
    </row>
    <row r="1499" spans="1:7" x14ac:dyDescent="0.25">
      <c r="D1499" t="str">
        <f ca="1">IF(D1498&lt;=D1497,"YES","NO")</f>
        <v>YES</v>
      </c>
      <c r="F1499" t="str">
        <f ca="1">IF(G1499="","",RAND())</f>
        <v/>
      </c>
      <c r="G1499" t="str">
        <f ca="1">IF(COUNTIF(B1500:B1504,"")&gt;=1,"",INDEX(A1500:A1504,MATCH(SMALL(B1500:B1504,5),B1500:B1504,0)))</f>
        <v/>
      </c>
    </row>
    <row r="1500" spans="1:7" x14ac:dyDescent="0.25">
      <c r="A1500" t="s">
        <v>193</v>
      </c>
      <c r="B1500">
        <f ca="1">IF(COUNTIF($A$1506:$A$1507,A1500)=1,"",1)</f>
        <v>1</v>
      </c>
      <c r="D1500" t="str">
        <f ca="1">IF(D1499="YES",INDEX(A1508:A1514,MATCH(LARGE(B1508:B1514,1),B1508:B1514,0)),"")</f>
        <v>Raven</v>
      </c>
    </row>
    <row r="1501" spans="1:7" x14ac:dyDescent="0.25">
      <c r="A1501" t="s">
        <v>194</v>
      </c>
      <c r="B1501" t="str">
        <f ca="1">IF(COUNTIF($A$1506:$A$1507,A1501)=1,"",2)</f>
        <v/>
      </c>
      <c r="C1501" t="str">
        <f ca="1">D1394</f>
        <v>Matt</v>
      </c>
      <c r="D1501" t="str">
        <f ca="1">IF(C1501=C1503,"",IF(C1501=G1462,"",C1501))</f>
        <v>Matt</v>
      </c>
      <c r="E1501" t="str">
        <f ca="1">IF(D1501="","",D1501&amp;IF(D1506=3,", ",IF(D1506=2," and ","")))</f>
        <v xml:space="preserve">Matt, </v>
      </c>
      <c r="G1501" t="str">
        <f ca="1">"The twist is able to be picked by anyone"&amp;IF(D1506=0,"",", but "&amp;D1507)</f>
        <v>The twist is able to be picked by anyone, but Matt, Jason and Cody</v>
      </c>
    </row>
    <row r="1502" spans="1:7" x14ac:dyDescent="0.25">
      <c r="A1502" t="s">
        <v>195</v>
      </c>
      <c r="B1502">
        <f ca="1">IF(COUNTIF($A$1506:$A$1507,A1502)=1,"",3)</f>
        <v>3</v>
      </c>
      <c r="C1502" t="str">
        <f ca="1">E1394</f>
        <v>Jason</v>
      </c>
      <c r="D1502" t="str">
        <f ca="1">IF(C1502=C1503,"",IF(C1502=G1462,"",C1502))</f>
        <v>Jason</v>
      </c>
      <c r="E1502" t="str">
        <f ca="1">IF(D1502="","",D1502&amp;IF(D1506=2,IF(D1503="",""," and "),IF(D1506=3," and ","")))</f>
        <v xml:space="preserve">Jason and </v>
      </c>
    </row>
    <row r="1503" spans="1:7" x14ac:dyDescent="0.25">
      <c r="A1503" t="s">
        <v>196</v>
      </c>
      <c r="B1503">
        <f ca="1">IF(COUNTIF($A$1506:$A$1507,A1503)=1,"",4)</f>
        <v>4</v>
      </c>
      <c r="C1503" t="str">
        <f ca="1">IF(Popularity!F15="No",H1487,"")</f>
        <v>Cody</v>
      </c>
      <c r="D1503" t="str">
        <f ca="1">C1503</f>
        <v>Cody</v>
      </c>
      <c r="E1503" t="str">
        <f ca="1">D1503</f>
        <v>Cody</v>
      </c>
      <c r="G1503" t="s">
        <v>212</v>
      </c>
    </row>
    <row r="1504" spans="1:7" x14ac:dyDescent="0.25">
      <c r="A1504" t="s">
        <v>197</v>
      </c>
      <c r="B1504" t="str">
        <f ca="1">IF(COUNTIF($A$1506:$A$1507,A1504)=1,"",5)</f>
        <v/>
      </c>
      <c r="G1504" t="str">
        <f ca="1">IF(D1500="","",D1500&amp;" claims the apple")</f>
        <v>Raven claims the apple</v>
      </c>
    </row>
    <row r="1505" spans="1:9" x14ac:dyDescent="0.25">
      <c r="G1505" t="str">
        <f ca="1">IF(G1504="","","The apple selected is…")</f>
        <v>The apple selected is…</v>
      </c>
    </row>
    <row r="1506" spans="1:9" x14ac:dyDescent="0.25">
      <c r="A1506" t="str">
        <f ca="1">G1287</f>
        <v>Second Veto</v>
      </c>
      <c r="D1506">
        <f ca="1">3-COUNTIF(D1501:D1503,"")</f>
        <v>3</v>
      </c>
      <c r="G1506" t="str">
        <f ca="1">IF(G1504="","",INDEX(G1495:G1499,MATCH(LARGE(F1495:F1499,1),F1495:F1499,0)))</f>
        <v>Eliminate 2 Eviction Votes</v>
      </c>
    </row>
    <row r="1507" spans="1:9" x14ac:dyDescent="0.25">
      <c r="A1507" t="str">
        <f ca="1">G1399</f>
        <v>Can't Play In Next HOH</v>
      </c>
      <c r="D1507" t="str">
        <f ca="1">E1501&amp;E1502&amp;E1503</f>
        <v>Matt, Jason and Cody</v>
      </c>
    </row>
    <row r="1508" spans="1:9" x14ac:dyDescent="0.25">
      <c r="A1508" t="str">
        <f t="shared" ref="A1508:A1514" ca="1" si="240">A1482</f>
        <v>Alex</v>
      </c>
      <c r="B1508">
        <f t="shared" ref="B1508:B1514" ca="1" si="241">IF(COUNTIF($C$1501:$C$1503,A1508)&gt;=1,"",RAND())</f>
        <v>0.75999165620551246</v>
      </c>
      <c r="C1508">
        <f ca="1">IF(D1500="","",IF(A1508=H1487,"",IF(A1508=$D$1500,"",IF($I$26="On",INDEX(Sheet4!$B$2:$R$18,MATCH(Game!D1500,Sheet4!$B$1:$R$1,0),MATCH(Game!A1508,Sheet4!$A$2:$A$18,0)),RAND()))))</f>
        <v>27.072683409527087</v>
      </c>
      <c r="F1508" t="str">
        <f ca="1">IF(G1506=A1500,INDEX(A1508:A1514,MATCH(LARGE(C1508:C1514,1),C1508:C1514,0)),"")</f>
        <v/>
      </c>
      <c r="G1508" t="str">
        <f ca="1">IF(G1506="","",IF(G1506=A1500,D1500&amp;" saves "&amp;F1508,IF(G1506=A1501,D1500&amp;" can't play the next HOH",IF(G1506=A1502,D1500&amp;" may eliminate 2 eviction votes",IF(G1506=A1503,"The HOH that evicts "&amp;D1500&amp;" will win $5,000","There will be 2 veto winners this week")))))</f>
        <v>Raven may eliminate 2 eviction votes</v>
      </c>
    </row>
    <row r="1509" spans="1:9" x14ac:dyDescent="0.25">
      <c r="A1509" t="str">
        <f t="shared" ca="1" si="240"/>
        <v>Cameron</v>
      </c>
      <c r="B1509">
        <f t="shared" ca="1" si="241"/>
        <v>0.81793815034745221</v>
      </c>
      <c r="C1509">
        <f ca="1">IF(D1500="","",IF(A1509=H1487,"",IF(A1509=$D$1500,"",IF($I$26="On",INDEX(Sheet4!$B$2:$R$18,MATCH(Game!D1500,Sheet4!$B$1:$R$1,0),MATCH(Game!A1509,Sheet4!$A$2:$A$18,0)),RAND()))))</f>
        <v>45.100969035321583</v>
      </c>
    </row>
    <row r="1510" spans="1:9" x14ac:dyDescent="0.25">
      <c r="A1510" t="str">
        <f t="shared" ca="1" si="240"/>
        <v>Cody</v>
      </c>
      <c r="B1510" t="str">
        <f t="shared" ca="1" si="241"/>
        <v/>
      </c>
      <c r="C1510" t="str">
        <f ca="1">IF(D1500="","",IF(A1510=H1487,"",IF(A1510=$D$1500,"",IF($I$26="On",INDEX(Sheet4!$B$2:$R$18,MATCH(Game!D1500,Sheet4!$B$1:$R$1,0),MATCH(Game!A1510,Sheet4!$A$2:$A$18,0)),RAND()))))</f>
        <v/>
      </c>
      <c r="E1510" t="str">
        <f ca="1">H1487</f>
        <v>Cody</v>
      </c>
      <c r="F1510" t="str">
        <f ca="1">H1487</f>
        <v>Cody</v>
      </c>
      <c r="G1510" s="2" t="s">
        <v>83</v>
      </c>
    </row>
    <row r="1511" spans="1:9" x14ac:dyDescent="0.25">
      <c r="A1511" t="str">
        <f t="shared" ca="1" si="240"/>
        <v>Jason</v>
      </c>
      <c r="B1511" t="str">
        <f t="shared" ca="1" si="241"/>
        <v/>
      </c>
      <c r="C1511">
        <f ca="1">IF(D1500="","",IF(A1511=H1487,"",IF(A1511=$D$1500,"",IF($I$26="On",INDEX(Sheet4!$B$2:$R$18,MATCH(Game!D1500,Sheet4!$B$1:$R$1,0),MATCH(Game!A1511,Sheet4!$A$2:$A$18,0)),RAND()))))</f>
        <v>6.0862485031359119</v>
      </c>
      <c r="E1511" t="str">
        <f ca="1">INDEX(A1492:A1497,MATCH(SMALL(B1492:B1497,1),B1492:B1497,0))</f>
        <v>Alex</v>
      </c>
      <c r="F1511" t="str">
        <f ca="1">IF(E1511=F1508,E1512,E1511)</f>
        <v>Alex</v>
      </c>
      <c r="G1511" t="str">
        <f ca="1">"The first person "&amp;H1487&amp;" has nominated is…"</f>
        <v>The first person Cody has nominated is…</v>
      </c>
    </row>
    <row r="1512" spans="1:9" x14ac:dyDescent="0.25">
      <c r="A1512" t="str">
        <f t="shared" ca="1" si="240"/>
        <v>Jessica</v>
      </c>
      <c r="B1512">
        <f t="shared" ca="1" si="241"/>
        <v>0.50345785983103286</v>
      </c>
      <c r="C1512">
        <f ca="1">IF(D1500="","",IF(A1512=H1487,"",IF(A1512=$D$1500,"",IF($I$26="On",INDEX(Sheet4!$B$2:$R$18,MATCH(Game!D1500,Sheet4!$B$1:$R$1,0),MATCH(Game!A1512,Sheet4!$A$2:$A$18,0)),RAND()))))</f>
        <v>43.418986695772595</v>
      </c>
      <c r="E1512" t="str">
        <f ca="1">INDEX(A1492:A1497,MATCH(SMALL(B1492:B1497,2),B1492:B1497,0))</f>
        <v>Jason</v>
      </c>
      <c r="F1512" t="str">
        <f ca="1">IF(F1511=E1512,E1513,IF(E1512=$F$1508,E1513,E1512))</f>
        <v>Jason</v>
      </c>
      <c r="G1512" t="str">
        <f ca="1">F1511</f>
        <v>Alex</v>
      </c>
    </row>
    <row r="1513" spans="1:9" x14ac:dyDescent="0.25">
      <c r="A1513" t="str">
        <f t="shared" ca="1" si="240"/>
        <v>Matt</v>
      </c>
      <c r="B1513" t="str">
        <f t="shared" ca="1" si="241"/>
        <v/>
      </c>
      <c r="C1513">
        <f ca="1">IF(D1500="","",IF(A1513=H1487,"",IF(A1513=$D$1500,"",IF($I$26="On",INDEX(Sheet4!$B$2:$R$18,MATCH(Game!D1500,Sheet4!$B$1:$R$1,0),MATCH(Game!A1513,Sheet4!$A$2:$A$18,0)),RAND()))))</f>
        <v>15.194432622208032</v>
      </c>
      <c r="E1513" t="str">
        <f ca="1">INDEX(A1492:A1497,MATCH(SMALL(B1492:B1497,3),B1492:B1497,0))</f>
        <v>Jessica</v>
      </c>
      <c r="F1513" t="str">
        <f ca="1">IF(F1512=E1513,E1514,IF(E1513=$F$1508,E1514,E1513))</f>
        <v>Jessica</v>
      </c>
      <c r="G1513" t="str">
        <f ca="1">"The second person "&amp;H1487&amp;" has nominated is…"</f>
        <v>The second person Cody has nominated is…</v>
      </c>
    </row>
    <row r="1514" spans="1:9" x14ac:dyDescent="0.25">
      <c r="A1514" t="str">
        <f t="shared" ca="1" si="240"/>
        <v>Raven</v>
      </c>
      <c r="B1514">
        <f t="shared" ca="1" si="241"/>
        <v>0.96414900094474931</v>
      </c>
      <c r="C1514" t="str">
        <f ca="1">IF(D1500="","",IF(A1514=H1487,"",IF(A1514=$D$1500,"",IF($I$26="On",INDEX(Sheet4!$B$2:$R$18,MATCH(Game!D1500,Sheet4!$B$1:$R$1,0),MATCH(Game!A1514,Sheet4!$A$2:$A$18,0)),RAND()))))</f>
        <v/>
      </c>
      <c r="E1514" t="str">
        <f ca="1">INDEX(A1492:A1497,MATCH(SMALL(B1492:B1497,4),B1492:B1497,0))</f>
        <v>Cameron</v>
      </c>
      <c r="F1514" t="str">
        <f ca="1">IF(F1513=E1514,E1515,IF(E1514=$F$1508,E1515,E1514))</f>
        <v>Cameron</v>
      </c>
      <c r="G1514" t="str">
        <f ca="1">F1512</f>
        <v>Jason</v>
      </c>
    </row>
    <row r="1515" spans="1:9" x14ac:dyDescent="0.25">
      <c r="E1515" t="str">
        <f ca="1">INDEX(A1492:A1497,MATCH(SMALL(B1492:B1497,5),B1492:B1497,0))</f>
        <v>Raven</v>
      </c>
      <c r="F1515" t="str">
        <f ca="1">IF(F1514=E1515,E1516,IF(E1515=$F$1508,E1516,E1515))</f>
        <v>Raven</v>
      </c>
    </row>
    <row r="1516" spans="1:9" x14ac:dyDescent="0.25">
      <c r="E1516" t="str">
        <f ca="1">INDEX(A1492:A1497,MATCH(SMALL(B1492:B1497,6),B1492:B1497,0))</f>
        <v>Matt</v>
      </c>
      <c r="F1516" t="str">
        <f ca="1">IF(F1515=E1516,"",IF(E1516=$F$1508,"",E1516))</f>
        <v>Matt</v>
      </c>
      <c r="G1516" s="2" t="s">
        <v>215</v>
      </c>
    </row>
    <row r="1517" spans="1:9" x14ac:dyDescent="0.25">
      <c r="A1517" t="str">
        <f t="shared" ref="A1517:A1523" ca="1" si="242">A1482</f>
        <v>Alex</v>
      </c>
      <c r="B1517" t="str">
        <f t="shared" ref="B1517:B1523" ca="1" si="243">IF(COUNTIF($F$1510:$F$1512,A1517)=1,"",RAND())</f>
        <v/>
      </c>
      <c r="C1517" t="str">
        <f t="shared" ref="C1517:C1524" ca="1" si="244">IF(B1517="","",IF(COUNTIF($H$1517:$I$1517,A1517)=1,"",RAND()))</f>
        <v/>
      </c>
      <c r="D1517" t="str">
        <f t="shared" ref="D1517:D1524" ca="1" si="245">IF(C1517="","",IF(COUNTIF($H$1518:$I$1518,A1517)=1,"",RAND()))</f>
        <v/>
      </c>
      <c r="G1517" t="str">
        <f ca="1">F1510&amp;"-"</f>
        <v>Cody-</v>
      </c>
      <c r="H1517" s="29" t="str">
        <f ca="1">INDEX(A1517:A1524,MATCH(LARGE(B1517:B1524,1),B1517:B1524,0))</f>
        <v>Jessica</v>
      </c>
      <c r="I1517" s="29" t="str">
        <f ca="1">IF(H1517="HGC",IF($I$26="On",INDEX(A1527:A1530,MATCH(LARGE(B1527:B1530,1),B1527:B1530,0)),INDEX(A1517:A1524,MATCH(LARGE(B1517:B1524,2),B1517:B1524,0))),"")</f>
        <v/>
      </c>
    </row>
    <row r="1518" spans="1:9" x14ac:dyDescent="0.25">
      <c r="A1518" t="str">
        <f t="shared" ca="1" si="242"/>
        <v>Cameron</v>
      </c>
      <c r="B1518">
        <f t="shared" ca="1" si="243"/>
        <v>0.26438385096250216</v>
      </c>
      <c r="C1518">
        <f t="shared" ca="1" si="244"/>
        <v>0.10332314455513325</v>
      </c>
      <c r="D1518" t="str">
        <f t="shared" ca="1" si="245"/>
        <v/>
      </c>
      <c r="G1518" t="str">
        <f ca="1">F1511&amp;"-"</f>
        <v>Alex-</v>
      </c>
      <c r="H1518" s="29" t="str">
        <f ca="1">INDEX(A1517:A1524,MATCH(LARGE(C1517:C1524,1),C1517:C1524,0))</f>
        <v>HGC</v>
      </c>
      <c r="I1518" s="29" t="str">
        <f ca="1">IF(H1518="HGC",IF($I$26="On",INDEX(C1527:C1530,MATCH(LARGE(D1527:D1530,1),D1527:D1530,0)),INDEX(A1517:A1524,MATCH(LARGE(C1517:C1524,2),C1517:C1524,0))),"")</f>
        <v>Cameron</v>
      </c>
    </row>
    <row r="1519" spans="1:9" x14ac:dyDescent="0.25">
      <c r="A1519" t="str">
        <f t="shared" ca="1" si="242"/>
        <v>Cody</v>
      </c>
      <c r="B1519" t="str">
        <f t="shared" ca="1" si="243"/>
        <v/>
      </c>
      <c r="C1519" t="str">
        <f t="shared" ca="1" si="244"/>
        <v/>
      </c>
      <c r="D1519" t="str">
        <f t="shared" ca="1" si="245"/>
        <v/>
      </c>
      <c r="G1519" t="str">
        <f ca="1">F1512&amp;"-"</f>
        <v>Jason-</v>
      </c>
      <c r="H1519" s="29" t="str">
        <f ca="1">INDEX(A1517:A1524,MATCH(LARGE(D1517:D1524,1),D1517:D1524,0))</f>
        <v>Raven</v>
      </c>
      <c r="I1519" s="29" t="str">
        <f ca="1">IF(H1519="HGC",IF($I$26="On",INDEX(E1527:E1530,MATCH(LARGE(F1527:F1530,1),F1527:F1530,0)),INDEX(A1517:A1524,MATCH(LARGE(D1517:D1524,2),D1517:D1524,0))),"")</f>
        <v/>
      </c>
    </row>
    <row r="1520" spans="1:9" x14ac:dyDescent="0.25">
      <c r="A1520" t="str">
        <f t="shared" ca="1" si="242"/>
        <v>Jason</v>
      </c>
      <c r="B1520" t="str">
        <f t="shared" ca="1" si="243"/>
        <v/>
      </c>
      <c r="C1520" t="str">
        <f t="shared" ca="1" si="244"/>
        <v/>
      </c>
      <c r="D1520" t="str">
        <f t="shared" ca="1" si="245"/>
        <v/>
      </c>
      <c r="F1520" t="str">
        <f ca="1">F1418</f>
        <v>Raven</v>
      </c>
    </row>
    <row r="1521" spans="1:9" x14ac:dyDescent="0.25">
      <c r="A1521" t="str">
        <f t="shared" ca="1" si="242"/>
        <v>Jessica</v>
      </c>
      <c r="B1521">
        <f t="shared" ca="1" si="243"/>
        <v>0.95111241222151255</v>
      </c>
      <c r="C1521" t="str">
        <f t="shared" ca="1" si="244"/>
        <v/>
      </c>
      <c r="D1521" t="str">
        <f t="shared" ca="1" si="245"/>
        <v/>
      </c>
      <c r="F1521" s="1" t="str">
        <f ca="1">IF(F1420="","",IF(G1414&lt;&gt;"","",IF(COUNTIF(G1462,F1520)=1,"",IF(COUNTIF(F1510:F1512,F1520)+COUNTIF(H1517:I1519,F1520)=1,"IN",IF(I243="On",RANDBETWEEN(1,3),RANDBETWEEN(1,2))))))</f>
        <v/>
      </c>
      <c r="G1521" s="1" t="str">
        <f ca="1">IF(F1522="Yes",F1520&amp;" stands up and decides to use The Ring of Replacement","")</f>
        <v/>
      </c>
    </row>
    <row r="1522" spans="1:9" x14ac:dyDescent="0.25">
      <c r="A1522" t="str">
        <f t="shared" ca="1" si="242"/>
        <v>Matt</v>
      </c>
      <c r="B1522">
        <f t="shared" ca="1" si="243"/>
        <v>0.75199024420332128</v>
      </c>
      <c r="C1522">
        <f t="shared" ca="1" si="244"/>
        <v>8.876587416497328E-2</v>
      </c>
      <c r="D1522">
        <f t="shared" ca="1" si="245"/>
        <v>0.1602949200152668</v>
      </c>
      <c r="F1522" t="str">
        <f ca="1">IF(F1521="IN","No",IF(F1521="","","Yes"))</f>
        <v/>
      </c>
      <c r="G1522" s="1" t="str">
        <f ca="1">IF(G1521="","",F1520&amp;" uses it to replace…")</f>
        <v/>
      </c>
    </row>
    <row r="1523" spans="1:9" x14ac:dyDescent="0.25">
      <c r="A1523" t="str">
        <f t="shared" ca="1" si="242"/>
        <v>Raven</v>
      </c>
      <c r="B1523">
        <f t="shared" ca="1" si="243"/>
        <v>0.3802123630113694</v>
      </c>
      <c r="C1523">
        <f t="shared" ca="1" si="244"/>
        <v>0.38546843465113023</v>
      </c>
      <c r="D1523">
        <f t="shared" ca="1" si="245"/>
        <v>0.7485025605068798</v>
      </c>
      <c r="G1523" s="1" t="str">
        <f ca="1">IF(G1522="","",INDEX(A1532:A1534,MATCH(SMALL(B1532:B1534,1),B1532:B1534,0)))</f>
        <v/>
      </c>
    </row>
    <row r="1524" spans="1:9" x14ac:dyDescent="0.25">
      <c r="A1524" t="s">
        <v>89</v>
      </c>
      <c r="B1524">
        <f ca="1">RAND()</f>
        <v>0.32044941113852932</v>
      </c>
      <c r="C1524">
        <f t="shared" ca="1" si="244"/>
        <v>0.67787498141149527</v>
      </c>
      <c r="D1524" t="str">
        <f t="shared" ca="1" si="245"/>
        <v/>
      </c>
    </row>
    <row r="1525" spans="1:9" x14ac:dyDescent="0.25">
      <c r="G1525" t="str">
        <f ca="1">IF(F1522="No","The Ring of Replacement has now expired","")</f>
        <v/>
      </c>
    </row>
    <row r="1526" spans="1:9" x14ac:dyDescent="0.25">
      <c r="A1526" t="str">
        <f ca="1">F1510</f>
        <v>Cody</v>
      </c>
      <c r="C1526" t="str">
        <f ca="1">F1511</f>
        <v>Alex</v>
      </c>
      <c r="E1526" t="str">
        <f ca="1">F1512</f>
        <v>Jason</v>
      </c>
    </row>
    <row r="1527" spans="1:9" x14ac:dyDescent="0.25">
      <c r="A1527" t="str">
        <f ca="1">INDEX($A1517:$A1523,MATCH(LARGE(B1517:B1523,1),B1517:B1523,0))</f>
        <v>Jessica</v>
      </c>
      <c r="B1527">
        <f ca="1">INDEX(Sheet4!$B$2:$R$18,MATCH(Game!A1527,Sheet4!$A$2:$A$18,0),MATCH(Game!A$1526,Sheet4!$B$1:$R$1,0))</f>
        <v>46.28551811425136</v>
      </c>
      <c r="C1527" t="str">
        <f ca="1">INDEX($A1517:$A1523,MATCH(LARGE(C1517:C1523,1),C1517:C1523,0))</f>
        <v>Raven</v>
      </c>
      <c r="D1527">
        <f ca="1">INDEX(Sheet4!$B$2:$R$18,MATCH(Game!C1527,Sheet4!$A$2:$A$18,0),MATCH(Game!C$1526,Sheet4!$B$1:$R$1,0))</f>
        <v>27.072683409527087</v>
      </c>
      <c r="E1527" t="str">
        <f ca="1">INDEX($A1517:$A1523,MATCH(LARGE(D1517:D1523,1),D1517:D1523,0))</f>
        <v>Raven</v>
      </c>
      <c r="F1527">
        <f ca="1">INDEX(Sheet4!$B$2:$R$18,MATCH(Game!E1527,Sheet4!$A$2:$A$18,0),MATCH(Game!E$1526,Sheet4!$B$1:$R$1,0))</f>
        <v>26.449699295094824</v>
      </c>
      <c r="G1527" s="2" t="s">
        <v>106</v>
      </c>
    </row>
    <row r="1528" spans="1:9" x14ac:dyDescent="0.25">
      <c r="A1528" t="str">
        <f ca="1">INDEX($A1517:$A1523,MATCH(LARGE(B1517:B1523,2),B1517:B1523,0))</f>
        <v>Matt</v>
      </c>
      <c r="B1528">
        <f ca="1">INDEX(Sheet4!$B$2:$R$18,MATCH(Game!A1528,Sheet4!$A$2:$A$18,0),MATCH(Game!A$1526,Sheet4!$B$1:$R$1,0))</f>
        <v>77.161630741743451</v>
      </c>
      <c r="C1528" t="str">
        <f ca="1">INDEX($A1517:$A1523,MATCH(LARGE(C1517:C1523,2),C1517:C1523,0))</f>
        <v>Cameron</v>
      </c>
      <c r="D1528">
        <f ca="1">INDEX(Sheet4!$B$2:$R$18,MATCH(Game!C1528,Sheet4!$A$2:$A$18,0),MATCH(Game!C$1526,Sheet4!$B$1:$R$1,0))</f>
        <v>74.337936926232928</v>
      </c>
      <c r="E1528" t="str">
        <f ca="1">INDEX($A1517:$A1523,MATCH(LARGE(D1517:D1523,2),D1517:D1523,0))</f>
        <v>Matt</v>
      </c>
      <c r="F1528">
        <f ca="1">INDEX(Sheet4!$B$2:$R$18,MATCH(Game!E1528,Sheet4!$A$2:$A$18,0),MATCH(Game!E$1526,Sheet4!$B$1:$R$1,0))</f>
        <v>84.449421673651997</v>
      </c>
      <c r="G1528" s="29" t="str">
        <f ca="1">F1510</f>
        <v>Cody</v>
      </c>
      <c r="H1528" s="29" t="str">
        <f ca="1">F1511</f>
        <v>Alex</v>
      </c>
      <c r="I1528" s="29" t="str">
        <f ca="1">F1512</f>
        <v>Jason</v>
      </c>
    </row>
    <row r="1529" spans="1:9" x14ac:dyDescent="0.25">
      <c r="A1529" t="str">
        <f ca="1">INDEX($A1517:$A1523,MATCH(LARGE(B1517:B1523,3),B1517:B1523,0))</f>
        <v>Raven</v>
      </c>
      <c r="B1529">
        <f ca="1">INDEX(Sheet4!$B$2:$R$18,MATCH(Game!A1529,Sheet4!$A$2:$A$18,0),MATCH(Game!A$1526,Sheet4!$B$1:$R$1,0))</f>
        <v>73.03778757742748</v>
      </c>
      <c r="C1529" t="str">
        <f ca="1">INDEX($A1517:$A1523,MATCH(LARGE(C1517:C1523,3),C1517:C1523,0))</f>
        <v>Matt</v>
      </c>
      <c r="D1529">
        <f ca="1">INDEX(Sheet4!$B$2:$R$18,MATCH(Game!C1529,Sheet4!$A$2:$A$18,0),MATCH(Game!C$1526,Sheet4!$B$1:$R$1,0))</f>
        <v>1.3087948788959189</v>
      </c>
      <c r="G1529" s="29" t="str">
        <f ca="1">IF(A1532=G1523,F1520,A1532)</f>
        <v>Jessica</v>
      </c>
      <c r="H1529" s="29" t="str">
        <f ca="1">IF(A1533=G1523,F1520,A1533)</f>
        <v>Cameron</v>
      </c>
      <c r="I1529" s="29" t="str">
        <f ca="1">IF(A1534=G1523,F1520,A1534)</f>
        <v>Raven</v>
      </c>
    </row>
    <row r="1530" spans="1:9" x14ac:dyDescent="0.25">
      <c r="A1530" t="str">
        <f ca="1">INDEX($A1517:$A1523,MATCH(LARGE(B1517:B1523,4),B1517:B1523,0))</f>
        <v>Cameron</v>
      </c>
      <c r="B1530">
        <f ca="1">INDEX(Sheet4!$B$2:$R$18,MATCH(Game!A1530,Sheet4!$A$2:$A$18,0),MATCH(Game!A$1526,Sheet4!$B$1:$R$1,0))</f>
        <v>69.289969172023191</v>
      </c>
      <c r="G1530" t="s">
        <v>107</v>
      </c>
      <c r="H1530" t="str">
        <f ca="1">F1531</f>
        <v>Matt</v>
      </c>
    </row>
    <row r="1531" spans="1:9" x14ac:dyDescent="0.25">
      <c r="E1531" t="str">
        <f ca="1">INDEX(A1517:A1523,MATCH(LARGE(D1517:D1523,1),D1517:D1523,0))</f>
        <v>Raven</v>
      </c>
      <c r="F1531" t="str">
        <f ca="1">IF(G1523="",IF(E1531=I1529,E1532,E1531),G1523)</f>
        <v>Matt</v>
      </c>
    </row>
    <row r="1532" spans="1:9" x14ac:dyDescent="0.25">
      <c r="A1532" t="str">
        <f ca="1">IF(H1517="HGC",I1517,H1517)</f>
        <v>Jessica</v>
      </c>
      <c r="B1532">
        <f ca="1">IF($I$26="On",INDEX($E$1041:$E$1054,MATCH(A1532,$D$1041:$D$1054,0)),RAND())</f>
        <v>82.335943293871836</v>
      </c>
      <c r="E1532" t="str">
        <f ca="1">INDEX(A1517:A1523,MATCH(LARGE(D1517:D1523,2),D1517:D1523,0))</f>
        <v>Matt</v>
      </c>
      <c r="G1532" t="s">
        <v>48</v>
      </c>
      <c r="H1532" t="str">
        <f ca="1">INDEX(E1539:E1544,MATCH(SMALL(F1539:F1544,1),F1539:F1544,0))</f>
        <v>Jason</v>
      </c>
    </row>
    <row r="1533" spans="1:9" x14ac:dyDescent="0.25">
      <c r="A1533" t="str">
        <f ca="1">IF(H1518="HGC",I1518,H1518)</f>
        <v>Cameron</v>
      </c>
      <c r="B1533">
        <f ca="1">IF($I$26="On",INDEX($E$1041:$E$1054,MATCH(A1533,$D$1041:$D$1054,0)),RAND())</f>
        <v>47.409368445659858</v>
      </c>
      <c r="G1533" t="s">
        <v>49</v>
      </c>
      <c r="H1533" t="str">
        <f ca="1">INDEX(E1539:E1544,MATCH(SMALL(F1539:F1544,2),F1539:F1544,0))</f>
        <v>Cody</v>
      </c>
    </row>
    <row r="1534" spans="1:9" x14ac:dyDescent="0.25">
      <c r="A1534" t="str">
        <f ca="1">IF(H1519="HGC",I1519,H1519)</f>
        <v>Raven</v>
      </c>
      <c r="B1534">
        <f ca="1">IF($I$26="On",INDEX($E$1041:$E$1054,MATCH(A1534,$D$1041:$D$1054,0)),RAND())</f>
        <v>101</v>
      </c>
      <c r="G1534" t="s">
        <v>50</v>
      </c>
      <c r="H1534" t="str">
        <f ca="1">INDEX(E1539:E1544,MATCH(SMALL(F1539:F1544,3),F1539:F1544,0))</f>
        <v>Raven</v>
      </c>
    </row>
    <row r="1535" spans="1:9" x14ac:dyDescent="0.25">
      <c r="G1535" t="s">
        <v>52</v>
      </c>
      <c r="H1535" t="str">
        <f ca="1">INDEX(E1539:E1544,MATCH(SMALL(F1539:F1544,4),F1539:F1544,0))</f>
        <v>Cameron</v>
      </c>
    </row>
    <row r="1536" spans="1:9" x14ac:dyDescent="0.25">
      <c r="G1536" t="s">
        <v>53</v>
      </c>
      <c r="H1536" t="str">
        <f ca="1">INDEX(E1539:E1544,MATCH(SMALL(F1539:F1544,5),F1539:F1544,0))</f>
        <v>Jessica</v>
      </c>
    </row>
    <row r="1537" spans="4:8" x14ac:dyDescent="0.25">
      <c r="G1537" t="s">
        <v>54</v>
      </c>
      <c r="H1537" t="str">
        <f ca="1">INDEX(E1539:E1544,MATCH(SMALL(F1539:F1544,6),F1539:F1544,0))</f>
        <v>Alex</v>
      </c>
    </row>
    <row r="1538" spans="4:8" x14ac:dyDescent="0.25">
      <c r="D1538" t="str">
        <f ca="1">IF(F1511=G1542,F1512,F1511)</f>
        <v>Jason</v>
      </c>
      <c r="E1538">
        <f ca="1">IF(D1539="Neither Nominee",RANDBETWEEN(1,2),RANDBETWEEN(1,4))</f>
        <v>1</v>
      </c>
      <c r="F1538">
        <f ca="1">RANDBETWEEN(1,4)</f>
        <v>3</v>
      </c>
      <c r="G1538" t="str">
        <f ca="1">"Congratulations, "&amp;H1537&amp;IF(G1506=A1504," and "&amp;H1536,"")</f>
        <v>Congratulations, Alex</v>
      </c>
    </row>
    <row r="1539" spans="4:8" x14ac:dyDescent="0.25">
      <c r="D1539" t="str">
        <f ca="1">IF(D1538=F1512,"Neither Nominee",IF(F1512=G1542,"Neither Nominee",F1512))</f>
        <v>Neither Nominee</v>
      </c>
      <c r="E1539" t="str">
        <f ca="1">G1528</f>
        <v>Cody</v>
      </c>
      <c r="F1539">
        <f t="shared" ref="F1539:F1544" ca="1" si="246">RAND()</f>
        <v>0.71389575134563332</v>
      </c>
    </row>
    <row r="1540" spans="4:8" x14ac:dyDescent="0.25">
      <c r="E1540" t="str">
        <f ca="1">H1528</f>
        <v>Alex</v>
      </c>
      <c r="F1540">
        <f t="shared" ca="1" si="246"/>
        <v>0.94761285477337132</v>
      </c>
      <c r="G1540" s="2" t="s">
        <v>111</v>
      </c>
    </row>
    <row r="1541" spans="4:8" x14ac:dyDescent="0.25">
      <c r="E1541" t="str">
        <f ca="1">I1528</f>
        <v>Jason</v>
      </c>
      <c r="F1541">
        <f t="shared" ca="1" si="246"/>
        <v>0.32569259457563859</v>
      </c>
      <c r="G1541" t="str">
        <f ca="1">H1537&amp;" has decided to use the POV to save"</f>
        <v>Alex has decided to use the POV to save</v>
      </c>
    </row>
    <row r="1542" spans="4:8" x14ac:dyDescent="0.25">
      <c r="D1542" t="str">
        <f ca="1">H1537</f>
        <v>Alex</v>
      </c>
      <c r="E1542" t="str">
        <f ca="1">G1529</f>
        <v>Jessica</v>
      </c>
      <c r="F1542">
        <f t="shared" ca="1" si="246"/>
        <v>0.8513056051707667</v>
      </c>
      <c r="G1542" t="str">
        <f ca="1">IF($I$26="On",Sheet4!C433,IF(COUNTIF(F1511:F1512,H1537)=1,H1537,IF(F1538=1,F1511,IF(F1538=2,F1512,"Neither Nominee"))))</f>
        <v>Alex</v>
      </c>
    </row>
    <row r="1543" spans="4:8" x14ac:dyDescent="0.25">
      <c r="D1543" t="str">
        <f ca="1">IF(G1506=A1504,H1536,"")</f>
        <v/>
      </c>
      <c r="E1543" t="str">
        <f ca="1">H1529</f>
        <v>Cameron</v>
      </c>
      <c r="F1543">
        <f t="shared" ca="1" si="246"/>
        <v>0.77662748416189153</v>
      </c>
      <c r="G1543" t="str">
        <f ca="1">IF(G1506=A1504,H1536&amp;" has decided to use the POV to save","")</f>
        <v/>
      </c>
    </row>
    <row r="1544" spans="4:8" x14ac:dyDescent="0.25">
      <c r="D1544">
        <f ca="1">IF(G1542="Neither Nominee",0,1)</f>
        <v>1</v>
      </c>
      <c r="E1544" t="str">
        <f ca="1">I1529</f>
        <v>Raven</v>
      </c>
      <c r="F1544">
        <f t="shared" ca="1" si="246"/>
        <v>0.74001062429209763</v>
      </c>
      <c r="G1544" t="str">
        <f ca="1">IF(G1543="","",IF($I$26="On",Sheet4!A436,IF(COUNTIF(D1538:D1539,H1536)=1,H1536,IF(E1538=1,D1538,IF(E1538=2,D1539,"Neither Nominee")))))</f>
        <v/>
      </c>
    </row>
    <row r="1545" spans="4:8" x14ac:dyDescent="0.25">
      <c r="D1545">
        <f ca="1">IF(G1544="",0,IF(G1544="Neither Nominee",0,1))</f>
        <v>0</v>
      </c>
      <c r="G1545" t="str">
        <f ca="1">IF(D1546=0,"This POV Ceremony is adjourned",H1487&amp;" has decided to put up")</f>
        <v>Cody has decided to put up</v>
      </c>
    </row>
    <row r="1546" spans="4:8" x14ac:dyDescent="0.25">
      <c r="D1546">
        <f ca="1">D1544+D1545</f>
        <v>1</v>
      </c>
      <c r="E1546" t="str">
        <f ca="1">F1513</f>
        <v>Jessica</v>
      </c>
      <c r="F1546">
        <f ca="1">IF(COUNTIF(G1542:G1544,E1546)+COUNTIF(D1542:D1543,E1546)=1,"",0.1)</f>
        <v>0.1</v>
      </c>
      <c r="G1546" t="str">
        <f ca="1">IF(D1546&gt;=1,INDEX(E1546:E1549,MATCH(SMALL(F1546:F1549,1),F1546:F1549,0)),"")</f>
        <v>Jessica</v>
      </c>
    </row>
    <row r="1547" spans="4:8" x14ac:dyDescent="0.25">
      <c r="E1547" t="str">
        <f ca="1">F1514</f>
        <v>Cameron</v>
      </c>
      <c r="F1547">
        <f ca="1">IF(COUNTIF(G1542:G1544,E1547)+COUNTIF(D1542:D1543,E1547)=1,"",0.2)</f>
        <v>0.2</v>
      </c>
      <c r="G1547" t="str">
        <f ca="1">IF(D1546=2,INDEX(E1546:E1549,MATCH(SMALL(F1546:F1549,2),F1546:F1549,0)),"")</f>
        <v/>
      </c>
    </row>
    <row r="1548" spans="4:8" x14ac:dyDescent="0.25">
      <c r="E1548" t="str">
        <f ca="1">F1515</f>
        <v>Raven</v>
      </c>
      <c r="F1548">
        <f ca="1">IF(COUNTIF(G1542:G1544,E1548)+COUNTIF(D1542:D1543,E1548)=1,"",0.3)</f>
        <v>0.3</v>
      </c>
      <c r="G1548" t="s">
        <v>152</v>
      </c>
    </row>
    <row r="1549" spans="4:8" x14ac:dyDescent="0.25">
      <c r="E1549" t="str">
        <f ca="1">F1516</f>
        <v>Matt</v>
      </c>
      <c r="F1549">
        <f ca="1">IF(COUNTIF(G1542:G1544,E1549)+COUNTIF(D1542:D1543,E1549)=1,"",0.4)</f>
        <v>0.4</v>
      </c>
      <c r="G1549" t="str">
        <f ca="1">IF(D1546=2,G1546,IF(COUNTIF(G1542:G1544,F1511)=1,G1546,F1511))</f>
        <v>Jessica</v>
      </c>
    </row>
    <row r="1550" spans="4:8" x14ac:dyDescent="0.25">
      <c r="G1550" t="str">
        <f ca="1">IF(D1546=2,G1547,IF(COUNTIF(G1542:G1544,F1512)=1,G1546,F1512))</f>
        <v>Jason</v>
      </c>
    </row>
    <row r="1552" spans="4:8" x14ac:dyDescent="0.25">
      <c r="G1552" s="2" t="s">
        <v>114</v>
      </c>
    </row>
    <row r="1553" spans="1:8" x14ac:dyDescent="0.25">
      <c r="B1553" t="str">
        <f ca="1">IF(A1502=G1506,D1500,"")</f>
        <v>Raven</v>
      </c>
      <c r="F1553" s="29" t="str">
        <f ca="1">H1487</f>
        <v>Cody</v>
      </c>
      <c r="G1553" s="29" t="str">
        <f ca="1">G1549</f>
        <v>Jessica</v>
      </c>
      <c r="H1553" s="29" t="str">
        <f ca="1">G1550</f>
        <v>Jason</v>
      </c>
    </row>
    <row r="1555" spans="1:8" x14ac:dyDescent="0.25">
      <c r="A1555" t="str">
        <f ca="1">A1460</f>
        <v>Alex</v>
      </c>
      <c r="B1555">
        <f ca="1">IF(COUNTIF(F1553:H1553,A1555)=1,"",0.01)</f>
        <v>0.01</v>
      </c>
      <c r="C1555">
        <f ca="1">IF(B1555="","",IF(B$1553="","",INDEX(Sheet4!$B$2:$R$18,MATCH(Game!B$1553,Sheet4!$B$1:$R$1,0),MATCH(Game!A1555,Sheet4!$A$2:$A$18,0))))</f>
        <v>27.072683409527087</v>
      </c>
      <c r="D1555" t="str">
        <f t="shared" ref="D1555:D1561" ca="1" si="247">IF(B1555="","",IF(COUNTIF($C$1565:$C$1566,A1555)=1,"",RAND()))</f>
        <v/>
      </c>
      <c r="G1555" t="str">
        <f ca="1">IF(G1506=A1502,D1500&amp;" can eliminate 2 eviction votes","")</f>
        <v>Raven can eliminate 2 eviction votes</v>
      </c>
    </row>
    <row r="1556" spans="1:8" x14ac:dyDescent="0.25">
      <c r="A1556" t="str">
        <f t="shared" ref="A1556:A1561" ca="1" si="248">A1461</f>
        <v>Cameron</v>
      </c>
      <c r="B1556">
        <f ca="1">IF(COUNTIF(F1553:H1553,A1556)=1,"",0.02)</f>
        <v>0.02</v>
      </c>
      <c r="C1556">
        <f ca="1">IF(B1556="","",IF(B$1553="","",INDEX(Sheet4!$B$2:$R$18,MATCH(Game!B$1553,Sheet4!$B$1:$R$1,0),MATCH(Game!A1556,Sheet4!$A$2:$A$18,0))))</f>
        <v>45.100969035321583</v>
      </c>
      <c r="D1556">
        <f t="shared" ca="1" si="247"/>
        <v>0.18327771480809418</v>
      </c>
      <c r="G1556" t="str">
        <f ca="1">IF(G1555="","",B1553&amp;" blocks the votes of "&amp;C1565&amp;" and "&amp;C1566)</f>
        <v>Raven blocks the votes of Alex and Matt</v>
      </c>
    </row>
    <row r="1557" spans="1:8" x14ac:dyDescent="0.25">
      <c r="A1557" t="str">
        <f t="shared" ca="1" si="248"/>
        <v>Cody</v>
      </c>
      <c r="B1557" t="str">
        <f ca="1">IF(COUNTIF(F1553:H1553,A1557)=1,"",0.03)</f>
        <v/>
      </c>
      <c r="C1557" t="str">
        <f ca="1">IF(B1557="","",IF(B$1553="","",INDEX(Sheet4!$B$2:$R$18,MATCH(Game!B$1553,Sheet4!$B$1:$R$1,0),MATCH(Game!A1557,Sheet4!$A$2:$A$18,0))))</f>
        <v/>
      </c>
      <c r="D1557" t="str">
        <f t="shared" ca="1" si="247"/>
        <v/>
      </c>
    </row>
    <row r="1558" spans="1:8" x14ac:dyDescent="0.25">
      <c r="A1558" t="str">
        <f t="shared" ca="1" si="248"/>
        <v>Jason</v>
      </c>
      <c r="B1558" t="str">
        <f ca="1">IF(COUNTIF(F1553:H1553,A1558)=1,"",0.04)</f>
        <v/>
      </c>
      <c r="C1558" t="str">
        <f ca="1">IF(B1558="","",IF(B$1553="","",INDEX(Sheet4!$B$2:$R$18,MATCH(Game!B$1553,Sheet4!$B$1:$R$1,0),MATCH(Game!A1558,Sheet4!$A$2:$A$18,0))))</f>
        <v/>
      </c>
      <c r="D1558" t="str">
        <f t="shared" ca="1" si="247"/>
        <v/>
      </c>
      <c r="F1558" t="str">
        <f ca="1">INDEX(A1555:A1562,MATCH(LARGE(D1555:D1562,1),D1555:D1562,0))</f>
        <v>Cameron</v>
      </c>
      <c r="G1558" t="str">
        <f ca="1">F1558&amp;"-"</f>
        <v>Cameron-</v>
      </c>
      <c r="H1558" t="str">
        <f ca="1">IF($I$26="On",INDEX(Sheet4!B441:R441,MATCH(Game!F1558,Sheet4!B438:R438,0)),IF(RANDBETWEEN(1,2)=1,Game!G1553,Game!H1553))</f>
        <v>Jason</v>
      </c>
    </row>
    <row r="1559" spans="1:8" x14ac:dyDescent="0.25">
      <c r="A1559" t="str">
        <f t="shared" ca="1" si="248"/>
        <v>Jessica</v>
      </c>
      <c r="B1559" t="str">
        <f ca="1">IF(COUNTIF(F1553:H1553,A1559)=1,"",0.05)</f>
        <v/>
      </c>
      <c r="C1559" t="str">
        <f ca="1">IF(B1559="","",IF(B$1553="","",INDEX(Sheet4!$B$2:$R$18,MATCH(Game!B$1553,Sheet4!$B$1:$R$1,0),MATCH(Game!A1559,Sheet4!$A$2:$A$18,0))))</f>
        <v/>
      </c>
      <c r="D1559" t="str">
        <f t="shared" ca="1" si="247"/>
        <v/>
      </c>
      <c r="F1559" t="str">
        <f ca="1">INDEX(A1555:A1562,MATCH(LARGE(D1555:D1562,2),D1555:D1562,0))</f>
        <v>Raven</v>
      </c>
      <c r="G1559" t="str">
        <f ca="1">F1559&amp;"-"</f>
        <v>Raven-</v>
      </c>
      <c r="H1559" t="str">
        <f ca="1">IF($I$26="On",INDEX(Sheet4!B441:R441,MATCH(Game!F1559,Sheet4!B438:R438,0)),IF(RANDBETWEEN(1,2)=1,Game!G1553,Game!H1553))</f>
        <v>Jason</v>
      </c>
    </row>
    <row r="1560" spans="1:8" x14ac:dyDescent="0.25">
      <c r="A1560" t="str">
        <f t="shared" ca="1" si="248"/>
        <v>Matt</v>
      </c>
      <c r="B1560">
        <f ca="1">IF(COUNTIF(F1553:H1553,A1560)=1,"",0.06)</f>
        <v>0.06</v>
      </c>
      <c r="C1560">
        <f ca="1">IF(B1560="","",IF(B$1553="","",INDEX(Sheet4!$B$2:$R$18,MATCH(Game!B$1553,Sheet4!$B$1:$R$1,0),MATCH(Game!A1560,Sheet4!$A$2:$A$18,0))))</f>
        <v>15.194432622208032</v>
      </c>
      <c r="D1560" t="str">
        <f t="shared" ca="1" si="247"/>
        <v/>
      </c>
      <c r="F1560" t="str">
        <f ca="1">IF(B1553="",INDEX(A1555:A1562,MATCH(LARGE(D1555:D1562,3),D1555:D1562,0)),"")</f>
        <v/>
      </c>
      <c r="G1560" t="str">
        <f ca="1">IF(F1560="","",F1560&amp;"-")</f>
        <v/>
      </c>
      <c r="H1560" t="str">
        <f ca="1">IF(F1560="","",IF($I$26="On",INDEX(Sheet4!B441:R441,MATCH(Game!F1560,Sheet4!B438:R438,0)),IF(RANDBETWEEN(1,2)=1,Game!G1553,Game!H1553)))</f>
        <v/>
      </c>
    </row>
    <row r="1561" spans="1:8" x14ac:dyDescent="0.25">
      <c r="A1561" t="str">
        <f t="shared" ca="1" si="248"/>
        <v>Raven</v>
      </c>
      <c r="B1561">
        <f ca="1">IF(COUNTIF(F1553:H1553,A1561)=1,"",0.07)</f>
        <v>7.0000000000000007E-2</v>
      </c>
      <c r="C1561">
        <f ca="1">IF(B1561="","",IF(B$1553="","",INDEX(Sheet4!$B$2:$R$18,MATCH(Game!B$1553,Sheet4!$B$1:$R$1,0),MATCH(Game!A1561,Sheet4!$A$2:$A$18,0))))</f>
        <v>101</v>
      </c>
      <c r="D1561">
        <f t="shared" ca="1" si="247"/>
        <v>6.0343234044529792E-3</v>
      </c>
      <c r="F1561" t="str">
        <f ca="1">IF(B1553="",INDEX(A1555:A1562,MATCH(LARGE(D1555:D1562,4),D1555:D1562,0)),"")</f>
        <v/>
      </c>
      <c r="G1561" t="str">
        <f ca="1">IF(F1561="","",F1561&amp;"-")</f>
        <v/>
      </c>
      <c r="H1561" t="str">
        <f ca="1">IF(F1561="","",IF($I$26="On",INDEX(Sheet4!B441:R441,MATCH(Game!F1561,Sheet4!B438:R438,0)),IF(RANDBETWEEN(1,2)=1,Game!G1553,Game!H1553)))</f>
        <v/>
      </c>
    </row>
    <row r="1563" spans="1:8" x14ac:dyDescent="0.25">
      <c r="C1563" t="str">
        <f ca="1">IF(B1553="","",INDEX(A1555:A1562,MATCH(SMALL(C1555:C1562,1),C1555:C1562,0)))</f>
        <v>Matt</v>
      </c>
      <c r="D1563" t="str">
        <f ca="1">G1549</f>
        <v>Jessica</v>
      </c>
      <c r="E1563">
        <f ca="1">COUNTIF(H1558:H1562,D1563)</f>
        <v>0</v>
      </c>
      <c r="G1563" t="str">
        <f ca="1">IF(E1563=E1564,"We have a tie!","")</f>
        <v/>
      </c>
    </row>
    <row r="1564" spans="1:8" x14ac:dyDescent="0.25">
      <c r="C1564" t="str">
        <f ca="1">IF(B1553="","",INDEX(A1555:A1562,MATCH(SMALL(C1555:C1562,2),C1555:C1562,0)))</f>
        <v>Alex</v>
      </c>
      <c r="D1564" t="str">
        <f ca="1">G1550</f>
        <v>Jason</v>
      </c>
      <c r="E1564">
        <f ca="1">COUNTIF(H1558:H1562,D1564)</f>
        <v>2</v>
      </c>
      <c r="G1564" t="str">
        <f ca="1">IF(G1563="","",F1553&amp;", the HOH, will break the tie")</f>
        <v/>
      </c>
    </row>
    <row r="1565" spans="1:8" x14ac:dyDescent="0.25">
      <c r="C1565" t="str">
        <f ca="1">IF(C1564&lt;C1563,C1564,C1563)</f>
        <v>Alex</v>
      </c>
      <c r="F1565" t="str">
        <f ca="1">IF(E1563=E1564,F1553,"")</f>
        <v/>
      </c>
      <c r="G1565" t="str">
        <f ca="1">IF(F1565="","",F1565&amp;"-")</f>
        <v/>
      </c>
      <c r="H1565" t="str">
        <f ca="1">IF(F1565="","",IF($I$26="On",INDEX(Sheet4!B441:R441,MATCH(Game!F1565,Sheet4!B438:R438,0)),IF(RANDBETWEEN(1,2)=1,Game!G1553,Game!H1553)))</f>
        <v/>
      </c>
    </row>
    <row r="1566" spans="1:8" x14ac:dyDescent="0.25">
      <c r="A1566" t="str">
        <f ca="1">IF(A1460=G1568,A1461,A1460)</f>
        <v>Alex</v>
      </c>
      <c r="C1566" t="str">
        <f ca="1">IF(C1565=C1564,C1563,C1564)</f>
        <v>Matt</v>
      </c>
      <c r="D1566" t="str">
        <f ca="1">D1563</f>
        <v>Jessica</v>
      </c>
      <c r="E1566">
        <f ca="1">COUNTIF(H1558:H1565,D1566)</f>
        <v>0</v>
      </c>
    </row>
    <row r="1567" spans="1:8" x14ac:dyDescent="0.25">
      <c r="A1567" t="str">
        <f ca="1">IF(A1566=A1461,A1462,IF(A1461=G1568,A1462,A1461))</f>
        <v>Cameron</v>
      </c>
      <c r="D1567" t="str">
        <f ca="1">D1564</f>
        <v>Jason</v>
      </c>
      <c r="E1567">
        <f ca="1">COUNTIF(H1558:H1565,D1567)</f>
        <v>2</v>
      </c>
      <c r="F1567" t="str">
        <f ca="1">F1461</f>
        <v/>
      </c>
      <c r="G1567" t="str">
        <f ca="1">"By a vote of "&amp;LARGE(E1566:E1567,1)&amp;"-"&amp;SMALL(E1566:E1567,1)</f>
        <v>By a vote of 2-0</v>
      </c>
    </row>
    <row r="1568" spans="1:8" x14ac:dyDescent="0.25">
      <c r="A1568" t="str">
        <f ca="1">IF(A1567=A1462,A1463,IF(A1462=G1568,A1463,A1462))</f>
        <v>Cody</v>
      </c>
      <c r="F1568" t="str">
        <f ca="1">F1462</f>
        <v/>
      </c>
      <c r="G1568" t="str">
        <f ca="1">INDEX(D1566:D1567,MATCH(LARGE(E1566:E1567,1),E1566:E1567,0))</f>
        <v>Jason</v>
      </c>
    </row>
    <row r="1569" spans="1:12" x14ac:dyDescent="0.25">
      <c r="A1569" t="str">
        <f ca="1">IF(A1568=A1463,A1464,IF(A1463=$G$1568,A1464,A1463))</f>
        <v>Jessica</v>
      </c>
      <c r="F1569" t="str">
        <f ca="1">IF(G1506=A1503,D1500,"")</f>
        <v/>
      </c>
      <c r="G1569" t="s">
        <v>62</v>
      </c>
    </row>
    <row r="1570" spans="1:12" x14ac:dyDescent="0.25">
      <c r="A1570" t="str">
        <f ca="1">IF(A1569=A1464,A1465,IF(A1464=$G$1568,A1465,A1464))</f>
        <v>Matt</v>
      </c>
    </row>
    <row r="1571" spans="1:12" x14ac:dyDescent="0.25">
      <c r="A1571" t="str">
        <f ca="1">IF(A1570=A1465,A1466,IF(A1465=$G$1568,A1466,A1465))</f>
        <v>Raven</v>
      </c>
      <c r="G1571" t="str">
        <f ca="1">IF(COUNTIF(F1567:F1569,G1568)=1,H1487&amp;" gets $5,000 for taking the bounty out","")</f>
        <v/>
      </c>
    </row>
    <row r="1573" spans="1:12" x14ac:dyDescent="0.25">
      <c r="G1573" t="s">
        <v>220</v>
      </c>
    </row>
    <row r="1574" spans="1:12" x14ac:dyDescent="0.25">
      <c r="G1574" t="s">
        <v>221</v>
      </c>
    </row>
    <row r="1576" spans="1:12" x14ac:dyDescent="0.25">
      <c r="G1576" s="2" t="s">
        <v>219</v>
      </c>
    </row>
    <row r="1577" spans="1:12" x14ac:dyDescent="0.25">
      <c r="G1577" s="16" t="str">
        <f ca="1">A1566</f>
        <v>Alex</v>
      </c>
      <c r="H1577" s="16" t="str">
        <f ca="1">A1567</f>
        <v>Cameron</v>
      </c>
      <c r="I1577" s="16" t="str">
        <f ca="1">A1568</f>
        <v>Cody</v>
      </c>
      <c r="J1577" s="16" t="str">
        <f ca="1">A1569</f>
        <v>Jessica</v>
      </c>
      <c r="K1577" s="16" t="str">
        <f ca="1">A1570</f>
        <v>Matt</v>
      </c>
      <c r="L1577" s="10"/>
    </row>
    <row r="1578" spans="1:12" x14ac:dyDescent="0.25">
      <c r="G1578" s="24" t="str">
        <f ca="1">IF(COUNTIF(B1579:F1581,G1577)=0,"","HOH - "&amp;COUNTIF(B1579:F1581,G1577))</f>
        <v/>
      </c>
      <c r="H1578" s="24" t="str">
        <f ca="1">IF(COUNTIF(B1579:F1581,H1577)=0,"","HOH - "&amp;COUNTIF(B1579:F1581,H1577))</f>
        <v/>
      </c>
      <c r="I1578" s="24" t="str">
        <f ca="1">IF(COUNTIF(B1579:F1581,I1577)=0,"","HOH - "&amp;COUNTIF(B1579:F1581,I1577))</f>
        <v>HOH - 2</v>
      </c>
      <c r="J1578" s="24" t="str">
        <f ca="1">IF(COUNTIF(B1579:F1581,J1577)=0,"","HOH - "&amp;COUNTIF(B1579:F1581,J1577))</f>
        <v>HOH - 1</v>
      </c>
      <c r="K1578" s="24" t="str">
        <f ca="1">IF(COUNTIF(B1579:F1581,K1577)=0,"","HOH - "&amp;COUNTIF(B1579:F1581,K1577))</f>
        <v/>
      </c>
      <c r="L1578" s="10"/>
    </row>
    <row r="1579" spans="1:12" x14ac:dyDescent="0.25">
      <c r="B1579" t="str">
        <f t="shared" ref="B1579:F1580" ca="1" si="249">B1470</f>
        <v>Raven</v>
      </c>
      <c r="C1579" t="str">
        <f t="shared" ca="1" si="249"/>
        <v>Josh</v>
      </c>
      <c r="D1579" t="str">
        <f t="shared" ca="1" si="249"/>
        <v>Ramses</v>
      </c>
      <c r="E1579" t="str">
        <f t="shared" ca="1" si="249"/>
        <v>Cody</v>
      </c>
      <c r="F1579" t="str">
        <f t="shared" ca="1" si="249"/>
        <v>Josh</v>
      </c>
      <c r="G1579" s="24" t="str">
        <f ca="1">IF(COUNTIF(B1582:F1584,G1577)=0,"","POV - "&amp;COUNTIF(B1582:F1584,G1577))</f>
        <v>POV - 1</v>
      </c>
      <c r="H1579" s="24" t="str">
        <f ca="1">IF(COUNTIF(B1582:F1584,H1577)=0,"","POV - "&amp;COUNTIF(B1582:F1584,H1577))</f>
        <v/>
      </c>
      <c r="I1579" s="24" t="str">
        <f ca="1">IF(COUNTIF(B1582:F1584,I1577)=0,"","POV - "&amp;COUNTIF(B1582:F1584,I1577))</f>
        <v>POV - 2</v>
      </c>
      <c r="J1579" s="24" t="str">
        <f ca="1">IF(COUNTIF(B1582:F1584,J1577)=0,"","POV - "&amp;COUNTIF(B1582:F1584,J1577))</f>
        <v/>
      </c>
      <c r="K1579" s="24" t="str">
        <f ca="1">IF(COUNTIF(B1582:F1584,K1577)=0,"","POV - "&amp;COUNTIF(B1582:F1584,K1577))</f>
        <v/>
      </c>
      <c r="L1579" s="10"/>
    </row>
    <row r="1580" spans="1:12" x14ac:dyDescent="0.25">
      <c r="B1580" t="str">
        <f t="shared" ca="1" si="249"/>
        <v>Christmas</v>
      </c>
      <c r="C1580" t="str">
        <f t="shared" ca="1" si="249"/>
        <v>Raven</v>
      </c>
      <c r="D1580" t="str">
        <f t="shared" ca="1" si="249"/>
        <v>Jessica</v>
      </c>
      <c r="E1580" t="str">
        <f t="shared" ca="1" si="249"/>
        <v>Jason</v>
      </c>
      <c r="F1580" t="str">
        <f t="shared" ca="1" si="249"/>
        <v>Raven</v>
      </c>
      <c r="G1580" s="16" t="str">
        <f ca="1">A1571</f>
        <v>Raven</v>
      </c>
      <c r="H1580" s="19" t="str">
        <f ca="1">G1568</f>
        <v>Jason</v>
      </c>
      <c r="I1580" s="19" t="str">
        <f t="shared" ref="I1580:L1585" ca="1" si="250">I1471</f>
        <v>Mark</v>
      </c>
      <c r="J1580" s="19" t="str">
        <f t="shared" ca="1" si="250"/>
        <v>Christmas</v>
      </c>
      <c r="K1580" s="19" t="str">
        <f t="shared" ca="1" si="250"/>
        <v>Megan</v>
      </c>
      <c r="L1580" s="19" t="str">
        <f t="shared" ca="1" si="250"/>
        <v>Jillian</v>
      </c>
    </row>
    <row r="1581" spans="1:12" x14ac:dyDescent="0.25">
      <c r="B1581" t="str">
        <f ca="1">H1487</f>
        <v>Cody</v>
      </c>
      <c r="G1581" s="24" t="str">
        <f ca="1">IF(COUNTIF(B1579:F1581,G1580)=0,"","HOH - "&amp;COUNTIF(B1579:F1581,G1580))</f>
        <v>HOH - 3</v>
      </c>
      <c r="H1581" s="31" t="str">
        <f ca="1">IF(COUNTIF(B1579:F1581,H1580)=0,"","HOH - "&amp;COUNTIF(B1579:F1581,H1580))</f>
        <v>HOH - 1</v>
      </c>
      <c r="I1581" s="31" t="str">
        <f t="shared" ca="1" si="250"/>
        <v/>
      </c>
      <c r="J1581" s="31" t="str">
        <f t="shared" ca="1" si="250"/>
        <v>HOH - 1</v>
      </c>
      <c r="K1581" s="31" t="str">
        <f t="shared" ca="1" si="250"/>
        <v/>
      </c>
      <c r="L1581" s="31" t="str">
        <f t="shared" ca="1" si="250"/>
        <v/>
      </c>
    </row>
    <row r="1582" spans="1:12" x14ac:dyDescent="0.25">
      <c r="B1582" t="str">
        <f t="shared" ref="B1582:F1583" ca="1" si="251">B1472</f>
        <v>Christmas</v>
      </c>
      <c r="C1582" t="str">
        <f t="shared" ca="1" si="251"/>
        <v>Christmas</v>
      </c>
      <c r="D1582" t="str">
        <f t="shared" ca="1" si="251"/>
        <v>Elena</v>
      </c>
      <c r="E1582" t="str">
        <f t="shared" ca="1" si="251"/>
        <v>Megan</v>
      </c>
      <c r="F1582" t="str">
        <f t="shared" ca="1" si="251"/>
        <v>Raven</v>
      </c>
      <c r="G1582" s="24" t="str">
        <f ca="1">IF(COUNTIF(B1582:F1584,G1580)=0,"","POV - "&amp;COUNTIF(B1582:F1584,G1580))</f>
        <v>POV - 2</v>
      </c>
      <c r="H1582" s="33" t="str">
        <f ca="1">IF(COUNTIF(B1582:F1584,H1580)=0,"","POV - "&amp;COUNTIF(B1582:F1584,H1580))</f>
        <v>POV - 1</v>
      </c>
      <c r="I1582" s="33" t="str">
        <f t="shared" ca="1" si="250"/>
        <v>POV - 1</v>
      </c>
      <c r="J1582" s="33" t="str">
        <f t="shared" ca="1" si="250"/>
        <v>POV - 2</v>
      </c>
      <c r="K1582" s="33" t="str">
        <f t="shared" ca="1" si="250"/>
        <v>POV - 2</v>
      </c>
      <c r="L1582" s="33" t="str">
        <f t="shared" ca="1" si="250"/>
        <v/>
      </c>
    </row>
    <row r="1583" spans="1:12" x14ac:dyDescent="0.25">
      <c r="B1583" t="str">
        <f t="shared" ca="1" si="251"/>
        <v>Cody</v>
      </c>
      <c r="C1583" t="str">
        <f t="shared" ca="1" si="251"/>
        <v>Megan</v>
      </c>
      <c r="D1583" t="str">
        <f t="shared" ca="1" si="251"/>
        <v>Mark</v>
      </c>
      <c r="E1583" t="str">
        <f t="shared" ca="1" si="251"/>
        <v>Jason</v>
      </c>
      <c r="F1583" t="str">
        <f t="shared" ca="1" si="251"/>
        <v>Cody</v>
      </c>
      <c r="G1583" s="19" t="str">
        <f t="shared" ref="G1583:H1585" ca="1" si="252">G1474</f>
        <v>Josh</v>
      </c>
      <c r="H1583" s="19" t="str">
        <f t="shared" ca="1" si="252"/>
        <v>Elena</v>
      </c>
      <c r="I1583" s="19" t="str">
        <f t="shared" ca="1" si="250"/>
        <v>Ramses</v>
      </c>
      <c r="J1583" s="19" t="str">
        <f t="shared" ca="1" si="250"/>
        <v>Paul</v>
      </c>
      <c r="K1583" s="30" t="str">
        <f t="shared" ca="1" si="250"/>
        <v>Kevin</v>
      </c>
      <c r="L1583" s="19" t="str">
        <f t="shared" ca="1" si="250"/>
        <v>Dominique</v>
      </c>
    </row>
    <row r="1584" spans="1:12" x14ac:dyDescent="0.25">
      <c r="B1584" t="str">
        <f ca="1">B1474</f>
        <v>Raven</v>
      </c>
      <c r="C1584" t="str">
        <f ca="1">C1474</f>
        <v/>
      </c>
      <c r="D1584" t="str">
        <f ca="1">H1537</f>
        <v>Alex</v>
      </c>
      <c r="E1584" t="str">
        <f ca="1">D1543</f>
        <v/>
      </c>
      <c r="G1584" s="31" t="str">
        <f t="shared" ca="1" si="252"/>
        <v>HOH - 2</v>
      </c>
      <c r="H1584" s="31" t="str">
        <f t="shared" ca="1" si="252"/>
        <v/>
      </c>
      <c r="I1584" s="31" t="str">
        <f t="shared" ca="1" si="250"/>
        <v>HOH - 1</v>
      </c>
      <c r="J1584" s="31" t="str">
        <f t="shared" ca="1" si="250"/>
        <v/>
      </c>
      <c r="K1584" s="32" t="str">
        <f t="shared" ca="1" si="250"/>
        <v/>
      </c>
      <c r="L1584" s="31" t="str">
        <f t="shared" ca="1" si="250"/>
        <v/>
      </c>
    </row>
    <row r="1585" spans="1:12" x14ac:dyDescent="0.25">
      <c r="G1585" s="33" t="str">
        <f t="shared" ca="1" si="252"/>
        <v/>
      </c>
      <c r="H1585" s="33" t="str">
        <f t="shared" ca="1" si="252"/>
        <v>POV - 1</v>
      </c>
      <c r="I1585" s="33" t="str">
        <f t="shared" ca="1" si="250"/>
        <v/>
      </c>
      <c r="J1585" s="33" t="str">
        <f t="shared" ca="1" si="250"/>
        <v/>
      </c>
      <c r="K1585" s="34" t="str">
        <f t="shared" ca="1" si="250"/>
        <v/>
      </c>
      <c r="L1585" s="33" t="str">
        <f t="shared" ca="1" si="250"/>
        <v/>
      </c>
    </row>
    <row r="1587" spans="1:12" x14ac:dyDescent="0.25">
      <c r="E1587" t="str">
        <f ca="1">IF(F1587="","",IF(H1479=F1587,IF(H1479=G1568,"",F1587&amp;" cannot compete in this HOH"),""))</f>
        <v/>
      </c>
      <c r="F1587" t="str">
        <f ca="1">IF(G1399=A1394,IF(E1394=H1376,H1376,""),"")</f>
        <v/>
      </c>
      <c r="G1587" s="2" t="s">
        <v>65</v>
      </c>
    </row>
    <row r="1588" spans="1:12" x14ac:dyDescent="0.25">
      <c r="E1588" t="str">
        <f ca="1">IF(F1588="","",IF(F1588=H1588,H1588&amp;" cannot compete in the next HOH, next week",F1588&amp;" cannot compete in this HOH"))</f>
        <v/>
      </c>
      <c r="F1588" t="str">
        <f ca="1">IF(G1506=A1501,IF(D1500=G1568,"",D1500),"")</f>
        <v/>
      </c>
      <c r="G1588" t="s">
        <v>130</v>
      </c>
      <c r="H1588" t="str">
        <f ca="1">H1487</f>
        <v>Cody</v>
      </c>
    </row>
    <row r="1589" spans="1:12" x14ac:dyDescent="0.25">
      <c r="G1589" t="str">
        <f ca="1">IF(E1587="",IF(E1588="","",E1588),E1587)</f>
        <v/>
      </c>
    </row>
    <row r="1591" spans="1:12" x14ac:dyDescent="0.25">
      <c r="A1591" t="str">
        <f t="shared" ref="A1591:A1596" ca="1" si="253">A1566</f>
        <v>Alex</v>
      </c>
      <c r="B1591">
        <f t="shared" ref="B1591:B1596" ca="1" si="254">IF(COUNTIF($F$1587:$H$1588,A1591)&gt;=1,"",RAND())</f>
        <v>0.15360874826294391</v>
      </c>
      <c r="G1591" t="str">
        <f ca="1">IF(COUNTIF(B1591:B1596,"")=2,"","5th-")</f>
        <v>5th-</v>
      </c>
      <c r="H1591" t="str">
        <f ca="1">IF(G1591="","",INDEX(A1591:A1596,MATCH(LARGE(B1591:B1596,5),B1591:B1596,0)))</f>
        <v>Alex</v>
      </c>
    </row>
    <row r="1592" spans="1:12" x14ac:dyDescent="0.25">
      <c r="A1592" t="str">
        <f t="shared" ca="1" si="253"/>
        <v>Cameron</v>
      </c>
      <c r="B1592">
        <f t="shared" ca="1" si="254"/>
        <v>0.64454369746457651</v>
      </c>
      <c r="G1592" t="s">
        <v>50</v>
      </c>
      <c r="H1592" t="str">
        <f ca="1">INDEX(A1591:A1596,MATCH(LARGE(B1591:B1596,4),B1591:B1596,0))</f>
        <v>Matt</v>
      </c>
    </row>
    <row r="1593" spans="1:12" x14ac:dyDescent="0.25">
      <c r="A1593" t="str">
        <f t="shared" ca="1" si="253"/>
        <v>Cody</v>
      </c>
      <c r="B1593" t="str">
        <f t="shared" ca="1" si="254"/>
        <v/>
      </c>
      <c r="G1593" t="s">
        <v>52</v>
      </c>
      <c r="H1593" t="str">
        <f ca="1">INDEX(A1591:A1596,MATCH(LARGE(B1591:B1596,3),B1591:B1596,0))</f>
        <v>Raven</v>
      </c>
    </row>
    <row r="1594" spans="1:12" x14ac:dyDescent="0.25">
      <c r="A1594" t="str">
        <f t="shared" ca="1" si="253"/>
        <v>Jessica</v>
      </c>
      <c r="B1594">
        <f t="shared" ca="1" si="254"/>
        <v>0.7939000527590746</v>
      </c>
      <c r="G1594" t="s">
        <v>53</v>
      </c>
      <c r="H1594" t="str">
        <f ca="1">INDEX(A1591:A1596,MATCH(LARGE(B1591:B1596,2),B1591:B1596,0))</f>
        <v>Cameron</v>
      </c>
    </row>
    <row r="1595" spans="1:12" x14ac:dyDescent="0.25">
      <c r="A1595" t="str">
        <f t="shared" ca="1" si="253"/>
        <v>Matt</v>
      </c>
      <c r="B1595">
        <f t="shared" ca="1" si="254"/>
        <v>0.37281204547669777</v>
      </c>
      <c r="G1595" t="s">
        <v>54</v>
      </c>
      <c r="H1595" t="str">
        <f ca="1">INDEX(A1591:A1596,MATCH(LARGE(B1591:B1596,1),B1591:B1596,0))</f>
        <v>Jessica</v>
      </c>
    </row>
    <row r="1596" spans="1:12" x14ac:dyDescent="0.25">
      <c r="A1596" t="str">
        <f t="shared" ca="1" si="253"/>
        <v>Raven</v>
      </c>
      <c r="B1596">
        <f t="shared" ca="1" si="254"/>
        <v>0.4186505509069518</v>
      </c>
      <c r="G1596" t="str">
        <f ca="1">"Congratulations, "&amp;H1595</f>
        <v>Congratulations, Jessica</v>
      </c>
    </row>
    <row r="1598" spans="1:12" x14ac:dyDescent="0.25">
      <c r="A1598" t="str">
        <f ca="1">INDEX(Sheet4!B443:R443,MATCH(SMALL(Sheet4!B444:R444,1),Sheet4!B444:R444,0))</f>
        <v>Alex</v>
      </c>
      <c r="B1598">
        <f ca="1">IF($I$26="On",SMALL(Sheet4!B444:R444,1),RAND())</f>
        <v>38.251270749609361</v>
      </c>
      <c r="C1598" t="str">
        <f ca="1">IF(B1598&gt;SMALL(B1598:B1602,2),COUNTIF(A1598:A1602,"&lt;="&amp;A1598),"")</f>
        <v/>
      </c>
      <c r="F1598" t="str">
        <f ca="1">H1595</f>
        <v>Jessica</v>
      </c>
      <c r="G1598" s="2" t="s">
        <v>83</v>
      </c>
    </row>
    <row r="1599" spans="1:12" x14ac:dyDescent="0.25">
      <c r="A1599" t="str">
        <f ca="1">INDEX(Sheet4!B443:R443,MATCH(SMALL(Sheet4!B444:R444,2),Sheet4!B444:R444,0))</f>
        <v>Matt</v>
      </c>
      <c r="B1599">
        <f ca="1">IF($I$26="On",SMALL(Sheet4!B444:R444,2),RAND())</f>
        <v>43.093973233306507</v>
      </c>
      <c r="C1599" t="str">
        <f ca="1">IF(B1599&gt;SMALL(B1598:B1602,2),COUNTIF(A1598:A1602,"&lt;="&amp;A1599),"")</f>
        <v/>
      </c>
      <c r="F1599" t="str">
        <f ca="1">INDEX(A1598:A1602,MATCH(SMALL(B1598:B1602,1),B1598:B1602,0))</f>
        <v>Alex</v>
      </c>
      <c r="G1599" t="str">
        <f ca="1">"The first person "&amp;H1595&amp;" has nominated is…"</f>
        <v>The first person Jessica has nominated is…</v>
      </c>
    </row>
    <row r="1600" spans="1:12" x14ac:dyDescent="0.25">
      <c r="A1600" t="str">
        <f ca="1">INDEX(Sheet4!B443:R443,MATCH(SMALL(Sheet4!B444:R444,3),Sheet4!B444:R444,0))</f>
        <v>Cameron</v>
      </c>
      <c r="B1600">
        <f ca="1">IF($I$26="On",SMALL(Sheet4!B444:R444,3),RAND())</f>
        <v>44.433469371378045</v>
      </c>
      <c r="C1600">
        <f ca="1">IF(B1600&gt;SMALL(B1598:B1602,2),COUNTIF(A1598:A1602,"&lt;="&amp;A1600),"")</f>
        <v>2</v>
      </c>
      <c r="F1600" t="str">
        <f ca="1">INDEX(A1598:A1602,MATCH(SMALL(B1598:B1602,2),B1598:B1602,0))</f>
        <v>Matt</v>
      </c>
      <c r="G1600" t="str">
        <f ca="1">F1599</f>
        <v>Alex</v>
      </c>
    </row>
    <row r="1601" spans="1:9" x14ac:dyDescent="0.25">
      <c r="A1601" t="str">
        <f ca="1">INDEX(Sheet4!B443:R443,MATCH(SMALL(Sheet4!B444:R444,4),Sheet4!B444:R444,0))</f>
        <v>Cody</v>
      </c>
      <c r="B1601">
        <f ca="1">IF($I$26="On",SMALL(Sheet4!B444:R444,4),RAND())</f>
        <v>46.28551811425136</v>
      </c>
      <c r="C1601">
        <f ca="1">IF(B1601&gt;SMALL(B1598:B1602,2),COUNTIF(A1598:A1602,"&lt;="&amp;A1601),"")</f>
        <v>3</v>
      </c>
      <c r="F1601" t="str">
        <f ca="1">INDEX(A1598:A1602,MATCH(SMALL(B1598:B1602,3),B1598:B1602,0))</f>
        <v>Cameron</v>
      </c>
      <c r="G1601" t="str">
        <f ca="1">"The second person "&amp;H1595&amp;" has nominated is…"</f>
        <v>The second person Jessica has nominated is…</v>
      </c>
    </row>
    <row r="1602" spans="1:9" x14ac:dyDescent="0.25">
      <c r="A1602" t="str">
        <f ca="1">INDEX(Sheet4!B443:R443,MATCH(SMALL(Sheet4!B444:R444,5),Sheet4!B444:R444,0))</f>
        <v>Raven</v>
      </c>
      <c r="B1602">
        <f ca="1">IF($I$26="On",SMALL(Sheet4!B444:R444,5),RAND())</f>
        <v>82.335943293871836</v>
      </c>
      <c r="C1602">
        <f ca="1">IF(B1602&gt;SMALL(B1598:B1602,2),COUNTIF(A1598:A1602,"&lt;="&amp;A1602),"")</f>
        <v>5</v>
      </c>
      <c r="F1602" t="str">
        <f ca="1">INDEX(A1598:A1602,MATCH(SMALL(B1598:B1602,4),B1598:B1602,0))</f>
        <v>Cody</v>
      </c>
      <c r="G1602" t="str">
        <f ca="1">F1600</f>
        <v>Matt</v>
      </c>
    </row>
    <row r="1604" spans="1:9" x14ac:dyDescent="0.25">
      <c r="G1604" s="2" t="s">
        <v>215</v>
      </c>
    </row>
    <row r="1605" spans="1:9" x14ac:dyDescent="0.25">
      <c r="G1605" t="s">
        <v>223</v>
      </c>
    </row>
    <row r="1607" spans="1:9" x14ac:dyDescent="0.25">
      <c r="G1607" s="2" t="s">
        <v>106</v>
      </c>
    </row>
    <row r="1608" spans="1:9" x14ac:dyDescent="0.25">
      <c r="G1608" s="29" t="str">
        <f ca="1">F1598</f>
        <v>Jessica</v>
      </c>
      <c r="H1608" s="29" t="str">
        <f ca="1">F1599</f>
        <v>Alex</v>
      </c>
      <c r="I1608" s="29" t="str">
        <f ca="1">F1600</f>
        <v>Matt</v>
      </c>
    </row>
    <row r="1609" spans="1:9" x14ac:dyDescent="0.25">
      <c r="G1609" s="29" t="str">
        <f ca="1">INDEX(A1598:A1602,MATCH(SMALL(C1598:C1602,1),C1598:C1602,0))</f>
        <v>Cameron</v>
      </c>
      <c r="H1609" s="29" t="str">
        <f ca="1">INDEX(A1598:A1602,MATCH(SMALL(C1598:C1602,2),C1598:C1602,0))</f>
        <v>Cody</v>
      </c>
      <c r="I1609" s="29" t="str">
        <f ca="1">INDEX(A1598:A1602,MATCH(SMALL(C1598:C1602,3),C1598:C1602,0))</f>
        <v>Raven</v>
      </c>
    </row>
    <row r="1611" spans="1:9" x14ac:dyDescent="0.25">
      <c r="E1611" t="str">
        <f ca="1">G1608</f>
        <v>Jessica</v>
      </c>
      <c r="F1611">
        <f t="shared" ref="F1611:F1616" ca="1" si="255">RAND()</f>
        <v>0.36944989602686118</v>
      </c>
      <c r="G1611" t="s">
        <v>48</v>
      </c>
      <c r="H1611" t="str">
        <f ca="1">INDEX(E1611:E1616,MATCH(SMALL(F1611:F1616,1),F1611:F1616,0))</f>
        <v>Cameron</v>
      </c>
    </row>
    <row r="1612" spans="1:9" x14ac:dyDescent="0.25">
      <c r="E1612" t="str">
        <f ca="1">H1608</f>
        <v>Alex</v>
      </c>
      <c r="F1612">
        <f t="shared" ca="1" si="255"/>
        <v>0.81664077722593709</v>
      </c>
      <c r="G1612" t="s">
        <v>49</v>
      </c>
      <c r="H1612" t="str">
        <f ca="1">INDEX(E1611:E1616,MATCH(SMALL(F1611:F1616,2),F1611:F1616,0))</f>
        <v>Jessica</v>
      </c>
    </row>
    <row r="1613" spans="1:9" x14ac:dyDescent="0.25">
      <c r="E1613" t="str">
        <f ca="1">I1608</f>
        <v>Matt</v>
      </c>
      <c r="F1613">
        <f t="shared" ca="1" si="255"/>
        <v>0.95015606189351542</v>
      </c>
      <c r="G1613" t="s">
        <v>50</v>
      </c>
      <c r="H1613" t="str">
        <f ca="1">INDEX(E1611:E1616,MATCH(SMALL(F1611:F1616,3),F1611:F1616,0))</f>
        <v>Raven</v>
      </c>
    </row>
    <row r="1614" spans="1:9" x14ac:dyDescent="0.25">
      <c r="E1614" t="str">
        <f ca="1">G1609</f>
        <v>Cameron</v>
      </c>
      <c r="F1614">
        <f t="shared" ca="1" si="255"/>
        <v>8.9372796365619567E-2</v>
      </c>
      <c r="G1614" t="s">
        <v>52</v>
      </c>
      <c r="H1614" t="str">
        <f ca="1">INDEX(E1611:E1616,MATCH(SMALL(F1611:F1616,4),F1611:F1616,0))</f>
        <v>Alex</v>
      </c>
    </row>
    <row r="1615" spans="1:9" x14ac:dyDescent="0.25">
      <c r="E1615" t="str">
        <f ca="1">H1609</f>
        <v>Cody</v>
      </c>
      <c r="F1615">
        <f t="shared" ca="1" si="255"/>
        <v>0.93675470013777196</v>
      </c>
      <c r="G1615" t="s">
        <v>53</v>
      </c>
      <c r="H1615" t="str">
        <f ca="1">INDEX(E1611:E1616,MATCH(SMALL(F1611:F1616,5),F1611:F1616,0))</f>
        <v>Cody</v>
      </c>
    </row>
    <row r="1616" spans="1:9" x14ac:dyDescent="0.25">
      <c r="E1616" t="str">
        <f ca="1">I1609</f>
        <v>Raven</v>
      </c>
      <c r="F1616">
        <f t="shared" ca="1" si="255"/>
        <v>0.48788788561388463</v>
      </c>
      <c r="G1616" t="s">
        <v>54</v>
      </c>
      <c r="H1616" t="str">
        <f ca="1">INDEX(E1611:E1616,MATCH(SMALL(F1611:F1616,6),F1611:F1616,0))</f>
        <v>Matt</v>
      </c>
    </row>
    <row r="1617" spans="1:8" x14ac:dyDescent="0.25">
      <c r="G1617" t="str">
        <f ca="1">"Congratulations, "&amp;H1616</f>
        <v>Congratulations, Matt</v>
      </c>
    </row>
    <row r="1619" spans="1:8" x14ac:dyDescent="0.25">
      <c r="G1619" s="2" t="s">
        <v>111</v>
      </c>
    </row>
    <row r="1620" spans="1:8" x14ac:dyDescent="0.25">
      <c r="F1620">
        <f ca="1">RANDBETWEEN(1,4)</f>
        <v>2</v>
      </c>
      <c r="G1620" t="str">
        <f ca="1">H1616&amp;" has decided to use the POV to save"</f>
        <v>Matt has decided to use the POV to save</v>
      </c>
    </row>
    <row r="1621" spans="1:8" x14ac:dyDescent="0.25">
      <c r="G1621" t="str">
        <f ca="1">IF($I$26="On",Sheet4!A450,IF(COUNTIF(F1599:F1600,H1616)=1,H1616,IF(F1620=1,F1599,IF(F1620=2,F1600,"Neither Nominee"))))</f>
        <v>Matt</v>
      </c>
    </row>
    <row r="1622" spans="1:8" x14ac:dyDescent="0.25">
      <c r="F1622" t="str">
        <f ca="1">F1601</f>
        <v>Cameron</v>
      </c>
      <c r="G1622" t="str">
        <f ca="1">IF(G1621="Neither Nominee","This POV Ceremony is adjourned",H1595&amp;" has decided to put up")</f>
        <v>Jessica has decided to put up</v>
      </c>
    </row>
    <row r="1623" spans="1:8" x14ac:dyDescent="0.25">
      <c r="F1623" t="str">
        <f ca="1">F1602</f>
        <v>Cody</v>
      </c>
      <c r="G1623" t="str">
        <f ca="1">IF(G1621="Neither Nominee","",IF(F1622=H1616,F1623,F1622))</f>
        <v>Cameron</v>
      </c>
    </row>
    <row r="1624" spans="1:8" x14ac:dyDescent="0.25">
      <c r="G1624" t="s">
        <v>152</v>
      </c>
    </row>
    <row r="1625" spans="1:8" x14ac:dyDescent="0.25">
      <c r="G1625" t="str">
        <f ca="1">IF(G1600=G1621,G1623,G1600)</f>
        <v>Alex</v>
      </c>
    </row>
    <row r="1626" spans="1:8" x14ac:dyDescent="0.25">
      <c r="G1626" t="str">
        <f ca="1">IF(G1602=G1621,G1623,G1602)</f>
        <v>Cameron</v>
      </c>
    </row>
    <row r="1628" spans="1:8" x14ac:dyDescent="0.25">
      <c r="G1628" s="2" t="s">
        <v>114</v>
      </c>
    </row>
    <row r="1629" spans="1:8" x14ac:dyDescent="0.25">
      <c r="A1629" t="str">
        <f t="shared" ref="A1629:A1634" ca="1" si="256">A1566</f>
        <v>Alex</v>
      </c>
      <c r="B1629" t="str">
        <f t="shared" ref="B1629:B1634" ca="1" si="257">IF(COUNTIF($F$1629:$H$1629,A1629)=1,"",RAND())</f>
        <v/>
      </c>
      <c r="F1629" s="29" t="str">
        <f ca="1">H1595</f>
        <v>Jessica</v>
      </c>
      <c r="G1629" s="29" t="str">
        <f ca="1">G1625</f>
        <v>Alex</v>
      </c>
      <c r="H1629" s="29" t="str">
        <f ca="1">G1626</f>
        <v>Cameron</v>
      </c>
    </row>
    <row r="1630" spans="1:8" x14ac:dyDescent="0.25">
      <c r="A1630" t="str">
        <f t="shared" ca="1" si="256"/>
        <v>Cameron</v>
      </c>
      <c r="B1630" t="str">
        <f t="shared" ca="1" si="257"/>
        <v/>
      </c>
    </row>
    <row r="1631" spans="1:8" x14ac:dyDescent="0.25">
      <c r="A1631" t="str">
        <f t="shared" ca="1" si="256"/>
        <v>Cody</v>
      </c>
      <c r="B1631">
        <f t="shared" ca="1" si="257"/>
        <v>0.99141640751678717</v>
      </c>
      <c r="F1631" t="str">
        <f ca="1">INDEX(A1629:A1634,MATCH(LARGE(B1629:B1634,1),B1629:B1634,0))</f>
        <v>Cody</v>
      </c>
      <c r="G1631" t="str">
        <f ca="1">F1631&amp;"-"</f>
        <v>Cody-</v>
      </c>
      <c r="H1631" t="str">
        <f ca="1">IF($I$26="On",INDEX(Sheet4!B455:R455,MATCH(Game!F1631,Sheet4!B452:R452,0)),IF(RANDBETWEEN(1,2)=1,Game!G1629,Game!H1629))</f>
        <v>Alex</v>
      </c>
    </row>
    <row r="1632" spans="1:8" x14ac:dyDescent="0.25">
      <c r="A1632" t="str">
        <f t="shared" ca="1" si="256"/>
        <v>Jessica</v>
      </c>
      <c r="B1632" t="str">
        <f t="shared" ca="1" si="257"/>
        <v/>
      </c>
      <c r="D1632" t="str">
        <f ca="1">G1625</f>
        <v>Alex</v>
      </c>
      <c r="E1632">
        <f ca="1">COUNTIF(H1631:H1633,D1632)</f>
        <v>3</v>
      </c>
      <c r="F1632" t="str">
        <f ca="1">INDEX(A1629:A1634,MATCH(LARGE(B1629:B1634,2),B1629:B1634,0))</f>
        <v>Matt</v>
      </c>
      <c r="G1632" t="str">
        <f ca="1">F1632&amp;"-"</f>
        <v>Matt-</v>
      </c>
      <c r="H1632" t="str">
        <f ca="1">IF($I$26="On",INDEX(Sheet4!B455:R455,MATCH(Game!F1632,Sheet4!B452:R452,0)),IF(RANDBETWEEN(1,2)=1,Game!G1629,Game!H1629))</f>
        <v>Alex</v>
      </c>
    </row>
    <row r="1633" spans="1:12" x14ac:dyDescent="0.25">
      <c r="A1633" t="str">
        <f t="shared" ca="1" si="256"/>
        <v>Matt</v>
      </c>
      <c r="B1633">
        <f t="shared" ca="1" si="257"/>
        <v>0.60827530807356633</v>
      </c>
      <c r="D1633" t="str">
        <f ca="1">G1626</f>
        <v>Cameron</v>
      </c>
      <c r="E1633">
        <f ca="1">COUNTIF(H1631:H1633,D1633)</f>
        <v>0</v>
      </c>
      <c r="F1633" t="str">
        <f ca="1">INDEX(A1629:A1634,MATCH(LARGE(B1629:B1634,3),B1629:B1634,0))</f>
        <v>Raven</v>
      </c>
      <c r="G1633" t="str">
        <f ca="1">F1633&amp;"-"</f>
        <v>Raven-</v>
      </c>
      <c r="H1633" t="str">
        <f ca="1">IF($I$26="On",INDEX(Sheet4!B455:R455,MATCH(Game!F1633,Sheet4!B452:R452,0)),IF(RANDBETWEEN(1,2)=1,Game!G1629,Game!H1629))</f>
        <v>Alex</v>
      </c>
    </row>
    <row r="1634" spans="1:12" x14ac:dyDescent="0.25">
      <c r="A1634" t="str">
        <f t="shared" ca="1" si="256"/>
        <v>Raven</v>
      </c>
      <c r="B1634">
        <f t="shared" ca="1" si="257"/>
        <v>0.13220750858803476</v>
      </c>
    </row>
    <row r="1635" spans="1:12" x14ac:dyDescent="0.25">
      <c r="F1635" t="str">
        <f ca="1">F1567</f>
        <v/>
      </c>
      <c r="G1635" t="str">
        <f ca="1">"By a vote of "&amp;LARGE(E1632:E1633,1)&amp;"-"&amp;SMALL(E1632:E1633,1)</f>
        <v>By a vote of 3-0</v>
      </c>
    </row>
    <row r="1636" spans="1:12" x14ac:dyDescent="0.25">
      <c r="A1636" t="str">
        <f ca="1">IF(A1566=G1636,A1567,A1566)</f>
        <v>Cameron</v>
      </c>
      <c r="F1636" t="str">
        <f ca="1">F1568</f>
        <v/>
      </c>
      <c r="G1636" t="str">
        <f ca="1">INDEX(D1632:D1633,MATCH(LARGE(E1632:E1633,1),E1632:E1633,0))</f>
        <v>Alex</v>
      </c>
    </row>
    <row r="1637" spans="1:12" x14ac:dyDescent="0.25">
      <c r="A1637" t="str">
        <f ca="1">IF(A1636=A1567,A1568,IF(A1567=$G$1636,A1568,A1567))</f>
        <v>Cody</v>
      </c>
      <c r="F1637" t="str">
        <f ca="1">F1569</f>
        <v/>
      </c>
      <c r="G1637" t="s">
        <v>62</v>
      </c>
    </row>
    <row r="1638" spans="1:12" x14ac:dyDescent="0.25">
      <c r="A1638" t="str">
        <f ca="1">IF(A1637=A1568,A1569,IF(A1568=$G$1636,A1569,A1568))</f>
        <v>Jessica</v>
      </c>
    </row>
    <row r="1639" spans="1:12" x14ac:dyDescent="0.25">
      <c r="A1639" t="str">
        <f ca="1">IF(A1638=A1569,A1570,IF(A1569=$G$1636,A1570,A1569))</f>
        <v>Matt</v>
      </c>
      <c r="G1639" t="str">
        <f ca="1">IF(COUNTIF(F1635:F1637,G1636)=1,H1595&amp;" gets $5,000 for taking the bounty out","")</f>
        <v/>
      </c>
    </row>
    <row r="1640" spans="1:12" x14ac:dyDescent="0.25">
      <c r="A1640" t="str">
        <f ca="1">IF(A1639=A1570,A1571,IF(A1570=$G$1636,A1571,A1570))</f>
        <v>Raven</v>
      </c>
    </row>
    <row r="1641" spans="1:12" x14ac:dyDescent="0.25">
      <c r="G1641" s="2" t="s">
        <v>224</v>
      </c>
    </row>
    <row r="1642" spans="1:12" x14ac:dyDescent="0.25">
      <c r="G1642" s="16" t="str">
        <f ca="1">A1636</f>
        <v>Cameron</v>
      </c>
      <c r="H1642" s="16" t="str">
        <f ca="1">A1637</f>
        <v>Cody</v>
      </c>
      <c r="I1642" s="16" t="str">
        <f ca="1">A1638</f>
        <v>Jessica</v>
      </c>
      <c r="J1642" s="16" t="str">
        <f ca="1">A1639</f>
        <v>Matt</v>
      </c>
      <c r="K1642" s="16" t="str">
        <f ca="1">A1640</f>
        <v>Raven</v>
      </c>
      <c r="L1642" s="10"/>
    </row>
    <row r="1643" spans="1:12" x14ac:dyDescent="0.25">
      <c r="G1643" s="24" t="str">
        <f ca="1">IF(COUNTIF(B1644:F1646,G1642)=0,"","HOH - "&amp;COUNTIF(B1644:F1646,G1642))</f>
        <v/>
      </c>
      <c r="H1643" s="24" t="str">
        <f ca="1">IF(COUNTIF(B1644:F1646,H1642)=0,"","HOH - "&amp;COUNTIF(B1644:F1646,H1642))</f>
        <v>HOH - 2</v>
      </c>
      <c r="I1643" s="24" t="str">
        <f ca="1">IF(COUNTIF(B1644:F1646,I1642)=0,"","HOH - "&amp;COUNTIF(B1644:F1646,I1642))</f>
        <v>HOH - 2</v>
      </c>
      <c r="J1643" s="24" t="str">
        <f ca="1">IF(COUNTIF(B1644:F1646,J1642)=0,"","HOH - "&amp;COUNTIF(B1644:F1646,J1642))</f>
        <v/>
      </c>
      <c r="K1643" s="24" t="str">
        <f ca="1">IF(COUNTIF(B1644:F1646,K1642)=0,"","HOH - "&amp;COUNTIF(B1644:F1646,K1642))</f>
        <v>HOH - 3</v>
      </c>
      <c r="L1643" s="10"/>
    </row>
    <row r="1644" spans="1:12" x14ac:dyDescent="0.25">
      <c r="B1644" t="str">
        <f ca="1">B1579</f>
        <v>Raven</v>
      </c>
      <c r="C1644" t="str">
        <f t="shared" ref="C1644:F1644" ca="1" si="258">C1579</f>
        <v>Josh</v>
      </c>
      <c r="D1644" t="str">
        <f t="shared" ca="1" si="258"/>
        <v>Ramses</v>
      </c>
      <c r="E1644" t="str">
        <f t="shared" ca="1" si="258"/>
        <v>Cody</v>
      </c>
      <c r="F1644" t="str">
        <f t="shared" ca="1" si="258"/>
        <v>Josh</v>
      </c>
      <c r="G1644" s="24" t="str">
        <f ca="1">IF(COUNTIF(B1647:F1649,G1642)=0,"","POV - "&amp;COUNTIF(B1647:F1649,G1642))</f>
        <v/>
      </c>
      <c r="H1644" s="24" t="str">
        <f ca="1">IF(COUNTIF(B1647:F1649,H1642)=0,"","POV - "&amp;COUNTIF(B1647:F1649,H1642))</f>
        <v>POV - 2</v>
      </c>
      <c r="I1644" s="24" t="str">
        <f ca="1">IF(COUNTIF(B1647:F1649,I1642)=0,"","POV - "&amp;COUNTIF(B1647:F1649,I1642))</f>
        <v/>
      </c>
      <c r="J1644" s="24" t="str">
        <f ca="1">IF(COUNTIF(B1647:F1649,J1642)=0,"","POV - "&amp;COUNTIF(B1647:F1649,J1642))</f>
        <v>POV - 1</v>
      </c>
      <c r="K1644" s="24" t="str">
        <f ca="1">IF(COUNTIF(B1647:F1649,K1642)=0,"","POV - "&amp;COUNTIF(B1647:F1649,K1642))</f>
        <v>POV - 2</v>
      </c>
      <c r="L1644" s="10"/>
    </row>
    <row r="1645" spans="1:12" x14ac:dyDescent="0.25">
      <c r="B1645" t="str">
        <f t="shared" ref="B1645:F1645" ca="1" si="259">B1580</f>
        <v>Christmas</v>
      </c>
      <c r="C1645" t="str">
        <f t="shared" ca="1" si="259"/>
        <v>Raven</v>
      </c>
      <c r="D1645" t="str">
        <f t="shared" ca="1" si="259"/>
        <v>Jessica</v>
      </c>
      <c r="E1645" t="str">
        <f t="shared" ca="1" si="259"/>
        <v>Jason</v>
      </c>
      <c r="F1645" t="str">
        <f t="shared" ca="1" si="259"/>
        <v>Raven</v>
      </c>
      <c r="G1645" s="19" t="str">
        <f ca="1">G1636</f>
        <v>Alex</v>
      </c>
      <c r="H1645" s="19" t="str">
        <f t="shared" ref="H1645:L1645" ca="1" si="260">H1580</f>
        <v>Jason</v>
      </c>
      <c r="I1645" s="19" t="str">
        <f t="shared" ca="1" si="260"/>
        <v>Mark</v>
      </c>
      <c r="J1645" s="19" t="str">
        <f t="shared" ca="1" si="260"/>
        <v>Christmas</v>
      </c>
      <c r="K1645" s="19" t="str">
        <f t="shared" ca="1" si="260"/>
        <v>Megan</v>
      </c>
      <c r="L1645" s="19" t="str">
        <f t="shared" ca="1" si="260"/>
        <v>Jillian</v>
      </c>
    </row>
    <row r="1646" spans="1:12" x14ac:dyDescent="0.25">
      <c r="B1646" t="str">
        <f ca="1">B1581</f>
        <v>Cody</v>
      </c>
      <c r="C1646" t="str">
        <f ca="1">H1595</f>
        <v>Jessica</v>
      </c>
      <c r="G1646" s="31" t="str">
        <f ca="1">IF(COUNTIF(B1644:F1646,G1645)=0,"","HOH - "&amp;COUNTIF(B1644:F1646,G1645))</f>
        <v/>
      </c>
      <c r="H1646" s="31" t="str">
        <f t="shared" ref="H1646:L1646" ca="1" si="261">H1581</f>
        <v>HOH - 1</v>
      </c>
      <c r="I1646" s="31" t="str">
        <f t="shared" ca="1" si="261"/>
        <v/>
      </c>
      <c r="J1646" s="31" t="str">
        <f t="shared" ca="1" si="261"/>
        <v>HOH - 1</v>
      </c>
      <c r="K1646" s="31" t="str">
        <f t="shared" ca="1" si="261"/>
        <v/>
      </c>
      <c r="L1646" s="31" t="str">
        <f t="shared" ca="1" si="261"/>
        <v/>
      </c>
    </row>
    <row r="1647" spans="1:12" x14ac:dyDescent="0.25">
      <c r="B1647" t="str">
        <f t="shared" ref="B1647:F1647" ca="1" si="262">B1582</f>
        <v>Christmas</v>
      </c>
      <c r="C1647" t="str">
        <f t="shared" ca="1" si="262"/>
        <v>Christmas</v>
      </c>
      <c r="D1647" t="str">
        <f t="shared" ca="1" si="262"/>
        <v>Elena</v>
      </c>
      <c r="E1647" t="str">
        <f t="shared" ca="1" si="262"/>
        <v>Megan</v>
      </c>
      <c r="F1647" t="str">
        <f t="shared" ca="1" si="262"/>
        <v>Raven</v>
      </c>
      <c r="G1647" s="33" t="str">
        <f ca="1">IF(COUNTIF(B1647:F1649,G1645)=0,"","POV - "&amp;COUNTIF(B1647:F1649,G1645))</f>
        <v>POV - 1</v>
      </c>
      <c r="H1647" s="33" t="str">
        <f t="shared" ref="H1647:L1647" ca="1" si="263">H1582</f>
        <v>POV - 1</v>
      </c>
      <c r="I1647" s="33" t="str">
        <f t="shared" ca="1" si="263"/>
        <v>POV - 1</v>
      </c>
      <c r="J1647" s="33" t="str">
        <f t="shared" ca="1" si="263"/>
        <v>POV - 2</v>
      </c>
      <c r="K1647" s="33" t="str">
        <f t="shared" ca="1" si="263"/>
        <v>POV - 2</v>
      </c>
      <c r="L1647" s="33" t="str">
        <f t="shared" ca="1" si="263"/>
        <v/>
      </c>
    </row>
    <row r="1648" spans="1:12" x14ac:dyDescent="0.25">
      <c r="B1648" t="str">
        <f t="shared" ref="B1648:F1648" ca="1" si="264">B1583</f>
        <v>Cody</v>
      </c>
      <c r="C1648" t="str">
        <f t="shared" ca="1" si="264"/>
        <v>Megan</v>
      </c>
      <c r="D1648" t="str">
        <f t="shared" ca="1" si="264"/>
        <v>Mark</v>
      </c>
      <c r="E1648" t="str">
        <f t="shared" ca="1" si="264"/>
        <v>Jason</v>
      </c>
      <c r="F1648" t="str">
        <f t="shared" ca="1" si="264"/>
        <v>Cody</v>
      </c>
      <c r="G1648" s="19" t="str">
        <f t="shared" ref="G1648:K1648" ca="1" si="265">G1583</f>
        <v>Josh</v>
      </c>
      <c r="H1648" s="19" t="str">
        <f t="shared" ca="1" si="265"/>
        <v>Elena</v>
      </c>
      <c r="I1648" s="19" t="str">
        <f t="shared" ca="1" si="265"/>
        <v>Ramses</v>
      </c>
      <c r="J1648" s="19" t="str">
        <f t="shared" ca="1" si="265"/>
        <v>Paul</v>
      </c>
      <c r="K1648" s="30" t="str">
        <f t="shared" ca="1" si="265"/>
        <v>Kevin</v>
      </c>
      <c r="L1648" s="19" t="str">
        <f ca="1">L1583</f>
        <v>Dominique</v>
      </c>
    </row>
    <row r="1649" spans="1:12" x14ac:dyDescent="0.25">
      <c r="B1649" t="str">
        <f t="shared" ref="B1649:E1649" ca="1" si="266">B1584</f>
        <v>Raven</v>
      </c>
      <c r="C1649" t="str">
        <f t="shared" ca="1" si="266"/>
        <v/>
      </c>
      <c r="D1649" t="str">
        <f t="shared" ca="1" si="266"/>
        <v>Alex</v>
      </c>
      <c r="E1649" t="str">
        <f t="shared" ca="1" si="266"/>
        <v/>
      </c>
      <c r="F1649" t="str">
        <f ca="1">H1616</f>
        <v>Matt</v>
      </c>
      <c r="G1649" s="31" t="str">
        <f t="shared" ref="G1649:L1649" ca="1" si="267">G1584</f>
        <v>HOH - 2</v>
      </c>
      <c r="H1649" s="31" t="str">
        <f t="shared" ca="1" si="267"/>
        <v/>
      </c>
      <c r="I1649" s="31" t="str">
        <f t="shared" ca="1" si="267"/>
        <v>HOH - 1</v>
      </c>
      <c r="J1649" s="31" t="str">
        <f t="shared" ca="1" si="267"/>
        <v/>
      </c>
      <c r="K1649" s="32" t="str">
        <f t="shared" ca="1" si="267"/>
        <v/>
      </c>
      <c r="L1649" s="31" t="str">
        <f t="shared" ca="1" si="267"/>
        <v/>
      </c>
    </row>
    <row r="1650" spans="1:12" x14ac:dyDescent="0.25">
      <c r="G1650" s="33" t="str">
        <f t="shared" ref="G1650:L1650" ca="1" si="268">G1585</f>
        <v/>
      </c>
      <c r="H1650" s="33" t="str">
        <f t="shared" ca="1" si="268"/>
        <v>POV - 1</v>
      </c>
      <c r="I1650" s="33" t="str">
        <f t="shared" ca="1" si="268"/>
        <v/>
      </c>
      <c r="J1650" s="33" t="str">
        <f t="shared" ca="1" si="268"/>
        <v/>
      </c>
      <c r="K1650" s="34" t="str">
        <f t="shared" ca="1" si="268"/>
        <v/>
      </c>
      <c r="L1650" s="33" t="str">
        <f t="shared" ca="1" si="268"/>
        <v/>
      </c>
    </row>
    <row r="1652" spans="1:12" x14ac:dyDescent="0.25">
      <c r="G1652" s="2" t="s">
        <v>65</v>
      </c>
    </row>
    <row r="1653" spans="1:12" x14ac:dyDescent="0.25">
      <c r="F1653" t="str">
        <f ca="1">IF(COUNTIF(G1589,"*next week")=1,F1588,"")</f>
        <v/>
      </c>
      <c r="G1653" t="s">
        <v>130</v>
      </c>
      <c r="H1653" t="str">
        <f ca="1">H1595</f>
        <v>Jessica</v>
      </c>
    </row>
    <row r="1654" spans="1:12" x14ac:dyDescent="0.25">
      <c r="G1654" t="str">
        <f ca="1">IF(F1653="","",F1653&amp;" cannot compete in this HOH")</f>
        <v/>
      </c>
    </row>
    <row r="1655" spans="1:12" x14ac:dyDescent="0.25">
      <c r="G1655" t="str">
        <f ca="1">IF(COUNTIF(B1656:B1660,"")=2,"","4th-")</f>
        <v>4th-</v>
      </c>
      <c r="H1655" t="str">
        <f ca="1">IF(G1655="","",INDEX(A1656:A1660,MATCH(SMALL(B1656:B1660,4),B1656:B1660,0)))</f>
        <v>Matt</v>
      </c>
    </row>
    <row r="1656" spans="1:12" x14ac:dyDescent="0.25">
      <c r="A1656" t="str">
        <f ca="1">A1636</f>
        <v>Cameron</v>
      </c>
      <c r="B1656">
        <f ca="1">IF(COUNTIF($F$1653:$H$1653,A1656)&gt;=1,"",RAND())</f>
        <v>0.6859921331888843</v>
      </c>
      <c r="G1656" t="s">
        <v>52</v>
      </c>
      <c r="H1656" t="str">
        <f ca="1">IF(G1655="","",INDEX(A1656:A1660,MATCH(SMALL(B1656:B1660,3),B1656:B1660,0)))</f>
        <v>Cameron</v>
      </c>
    </row>
    <row r="1657" spans="1:12" x14ac:dyDescent="0.25">
      <c r="A1657" t="str">
        <f ca="1">A1637</f>
        <v>Cody</v>
      </c>
      <c r="B1657">
        <f ca="1">IF(COUNTIF($F$1653:$H$1653,A1657)&gt;=1,"",RAND())</f>
        <v>0.27368292222417578</v>
      </c>
      <c r="G1657" t="s">
        <v>53</v>
      </c>
      <c r="H1657" t="str">
        <f ca="1">IF(G1655="","",INDEX(A1656:A1660,MATCH(SMALL(B1656:B1660,2),B1656:B1660,0)))</f>
        <v>Cody</v>
      </c>
    </row>
    <row r="1658" spans="1:12" x14ac:dyDescent="0.25">
      <c r="A1658" t="str">
        <f ca="1">A1638</f>
        <v>Jessica</v>
      </c>
      <c r="B1658" t="str">
        <f ca="1">IF(COUNTIF($F$1653:$H$1653,A1658)&gt;=1,"",RAND())</f>
        <v/>
      </c>
      <c r="G1658" t="s">
        <v>54</v>
      </c>
      <c r="H1658" t="str">
        <f ca="1">IF(G1655="","",INDEX(A1656:A1660,MATCH(SMALL(B1656:B1660,1),B1656:B1660,0)))</f>
        <v>Raven</v>
      </c>
    </row>
    <row r="1659" spans="1:12" x14ac:dyDescent="0.25">
      <c r="A1659" t="str">
        <f ca="1">A1639</f>
        <v>Matt</v>
      </c>
      <c r="B1659">
        <f ca="1">IF(COUNTIF($F$1653:$H$1653,A1659)&gt;=1,"",RAND())</f>
        <v>0.73239656532055875</v>
      </c>
      <c r="G1659" t="str">
        <f ca="1">"Congratulations, "&amp;H1658</f>
        <v>Congratulations, Raven</v>
      </c>
    </row>
    <row r="1660" spans="1:12" x14ac:dyDescent="0.25">
      <c r="A1660" t="str">
        <f ca="1">A1640</f>
        <v>Raven</v>
      </c>
      <c r="B1660">
        <f ca="1">IF(COUNTIF($F$1653:$H$1653,A1660)&gt;=1,"",RAND())</f>
        <v>0.18583212656300874</v>
      </c>
    </row>
    <row r="1661" spans="1:12" x14ac:dyDescent="0.25">
      <c r="G1661" s="2" t="s">
        <v>83</v>
      </c>
    </row>
    <row r="1662" spans="1:12" x14ac:dyDescent="0.25">
      <c r="A1662" t="str">
        <f ca="1">INDEX(Sheet4!B457:R457,MATCH(SMALL(Sheet4!B458:R458,1),Sheet4!B458:R458,0))</f>
        <v>Matt</v>
      </c>
      <c r="B1662">
        <f ca="1">IF($I$26="On",SMALL(Sheet4!B458:R458,1),RAND())</f>
        <v>16.041606218120869</v>
      </c>
      <c r="C1662" t="str">
        <f ca="1">IF(B1662&gt;SMALL(B1662:B1665,2),COUNTIF(A1662:A1665,"&lt;="&amp;A1662),"")</f>
        <v/>
      </c>
      <c r="F1662" t="str">
        <f ca="1">H1658</f>
        <v>Raven</v>
      </c>
      <c r="G1662" t="str">
        <f ca="1">"The first person "&amp;H1658&amp;" has nominated is…"</f>
        <v>The first person Raven has nominated is…</v>
      </c>
    </row>
    <row r="1663" spans="1:12" x14ac:dyDescent="0.25">
      <c r="A1663" t="str">
        <f ca="1">INDEX(Sheet4!B457:R457,MATCH(SMALL(Sheet4!B458:R458,2),Sheet4!B458:R458,0))</f>
        <v>Cameron</v>
      </c>
      <c r="B1663">
        <f ca="1">IF($I$26="On",SMALL(Sheet4!B458:R458,2),RAND())</f>
        <v>47.409368445659858</v>
      </c>
      <c r="C1663" t="str">
        <f ca="1">IF(B1663&gt;SMALL(B1662:B1665,2),COUNTIF(A1662:A1665,"&lt;="&amp;A1663),"")</f>
        <v/>
      </c>
      <c r="F1663" t="str">
        <f ca="1">INDEX(A1662:A1665,MATCH(SMALL(B1662:B1665,1),B1662:B1665,0))</f>
        <v>Matt</v>
      </c>
      <c r="G1663" t="str">
        <f ca="1">F1663</f>
        <v>Matt</v>
      </c>
    </row>
    <row r="1664" spans="1:12" x14ac:dyDescent="0.25">
      <c r="A1664" t="str">
        <f ca="1">INDEX(Sheet4!B457:R457,MATCH(SMALL(Sheet4!B458:R458,3),Sheet4!B458:R458,0))</f>
        <v>Cody</v>
      </c>
      <c r="B1664">
        <f ca="1">IF($I$26="On",SMALL(Sheet4!B458:R458,3),RAND())</f>
        <v>73.03778757742748</v>
      </c>
      <c r="C1664">
        <f ca="1">IF(B1664&gt;SMALL(B1662:B1665,2),COUNTIF(A1662:A1665,"&lt;="&amp;A1664),"")</f>
        <v>2</v>
      </c>
      <c r="F1664" t="str">
        <f ca="1">INDEX(A1662:A1665,MATCH(SMALL(B1662:B1665,2),B1662:B1665,0))</f>
        <v>Cameron</v>
      </c>
      <c r="G1664" t="str">
        <f ca="1">"The second person "&amp;H1658&amp;" has nominated is…"</f>
        <v>The second person Raven has nominated is…</v>
      </c>
    </row>
    <row r="1665" spans="1:9" x14ac:dyDescent="0.25">
      <c r="A1665" t="str">
        <f ca="1">INDEX(Sheet4!B457:R457,MATCH(SMALL(Sheet4!B458:R458,4),Sheet4!B458:R458,0))</f>
        <v>Jessica</v>
      </c>
      <c r="B1665">
        <f ca="1">IF($I$26="On",SMALL(Sheet4!B458:R458,4),RAND())</f>
        <v>82.335943293871836</v>
      </c>
      <c r="C1665">
        <f ca="1">IF(B1665&gt;SMALL(B1662:B1665,2),COUNTIF(A1662:A1665,"&lt;="&amp;A1665),"")</f>
        <v>3</v>
      </c>
      <c r="F1665" t="str">
        <f ca="1">INDEX(A1662:A1665,MATCH(SMALL(B1662:B1665,3),B1662:B1665,0))</f>
        <v>Cody</v>
      </c>
      <c r="G1665" t="str">
        <f ca="1">F1664</f>
        <v>Cameron</v>
      </c>
    </row>
    <row r="1666" spans="1:9" x14ac:dyDescent="0.25">
      <c r="F1666" t="str">
        <f ca="1">INDEX(A1662:A1665,MATCH(SMALL(B1662:B1665,4),B1662:B1665,0))</f>
        <v>Jessica</v>
      </c>
    </row>
    <row r="1667" spans="1:9" x14ac:dyDescent="0.25">
      <c r="G1667" s="2" t="s">
        <v>106</v>
      </c>
    </row>
    <row r="1668" spans="1:9" x14ac:dyDescent="0.25">
      <c r="G1668" s="29" t="str">
        <f ca="1">F1662</f>
        <v>Raven</v>
      </c>
      <c r="H1668" s="29" t="str">
        <f ca="1">F1663</f>
        <v>Matt</v>
      </c>
      <c r="I1668" s="29" t="str">
        <f ca="1">F1664</f>
        <v>Cameron</v>
      </c>
    </row>
    <row r="1669" spans="1:9" x14ac:dyDescent="0.25">
      <c r="G1669" s="29" t="str">
        <f ca="1">INDEX(A1662:A1665,MATCH(SMALL(C1662:C1665,1),C1662:C1665,0))</f>
        <v>Cody</v>
      </c>
      <c r="H1669" s="29" t="str">
        <f ca="1">INDEX(A1662:A1665,MATCH(SMALL(C1662:C1665,2),C1662:C1665,0))</f>
        <v>Jessica</v>
      </c>
      <c r="I1669" s="29"/>
    </row>
    <row r="1671" spans="1:9" x14ac:dyDescent="0.25">
      <c r="E1671" t="str">
        <f ca="1">G1668</f>
        <v>Raven</v>
      </c>
      <c r="F1671">
        <f t="shared" ref="F1671:F1675" ca="1" si="269">RAND()</f>
        <v>0.71348796319844165</v>
      </c>
      <c r="G1671" t="s">
        <v>49</v>
      </c>
      <c r="H1671" t="str">
        <f ca="1">INDEX(E1671:E1676,MATCH(SMALL(F1671:F1676,1),F1671:F1676,0))</f>
        <v>Matt</v>
      </c>
    </row>
    <row r="1672" spans="1:9" x14ac:dyDescent="0.25">
      <c r="E1672" t="str">
        <f ca="1">H1668</f>
        <v>Matt</v>
      </c>
      <c r="F1672">
        <f t="shared" ca="1" si="269"/>
        <v>0.22761499880605773</v>
      </c>
      <c r="G1672" t="s">
        <v>50</v>
      </c>
      <c r="H1672" t="str">
        <f ca="1">INDEX(E1671:E1676,MATCH(SMALL(F1671:F1676,2),F1671:F1676,0))</f>
        <v>Jessica</v>
      </c>
    </row>
    <row r="1673" spans="1:9" x14ac:dyDescent="0.25">
      <c r="E1673" t="str">
        <f ca="1">I1668</f>
        <v>Cameron</v>
      </c>
      <c r="F1673">
        <f t="shared" ca="1" si="269"/>
        <v>0.90129590318297048</v>
      </c>
      <c r="G1673" t="s">
        <v>52</v>
      </c>
      <c r="H1673" t="str">
        <f ca="1">INDEX(E1671:E1676,MATCH(SMALL(F1671:F1676,3),F1671:F1676,0))</f>
        <v>Cody</v>
      </c>
    </row>
    <row r="1674" spans="1:9" x14ac:dyDescent="0.25">
      <c r="E1674" t="str">
        <f ca="1">G1669</f>
        <v>Cody</v>
      </c>
      <c r="F1674">
        <f t="shared" ca="1" si="269"/>
        <v>0.68467968203694884</v>
      </c>
      <c r="G1674" t="s">
        <v>53</v>
      </c>
      <c r="H1674" t="str">
        <f ca="1">INDEX(E1671:E1676,MATCH(SMALL(F1671:F1676,4),F1671:F1676,0))</f>
        <v>Raven</v>
      </c>
    </row>
    <row r="1675" spans="1:9" x14ac:dyDescent="0.25">
      <c r="E1675" t="str">
        <f ca="1">H1669</f>
        <v>Jessica</v>
      </c>
      <c r="F1675">
        <f t="shared" ca="1" si="269"/>
        <v>0.57500499200724675</v>
      </c>
      <c r="G1675" t="s">
        <v>54</v>
      </c>
      <c r="H1675" t="str">
        <f ca="1">INDEX(E1671:E1676,MATCH(SMALL(F1671:F1676,5),F1671:F1676,0))</f>
        <v>Cameron</v>
      </c>
    </row>
    <row r="1676" spans="1:9" x14ac:dyDescent="0.25">
      <c r="G1676" t="str">
        <f ca="1">"Congratulations, "&amp;H1675</f>
        <v>Congratulations, Cameron</v>
      </c>
    </row>
    <row r="1678" spans="1:9" x14ac:dyDescent="0.25">
      <c r="G1678" s="2" t="s">
        <v>111</v>
      </c>
    </row>
    <row r="1679" spans="1:9" x14ac:dyDescent="0.25">
      <c r="D1679" t="str">
        <f ca="1">H1675</f>
        <v>Cameron</v>
      </c>
      <c r="F1679">
        <f ca="1">RANDBETWEEN(1,4)</f>
        <v>2</v>
      </c>
      <c r="G1679" t="str">
        <f ca="1">H1675&amp;" has decided to use the POV to save"</f>
        <v>Cameron has decided to use the POV to save</v>
      </c>
    </row>
    <row r="1680" spans="1:9" x14ac:dyDescent="0.25">
      <c r="D1680" t="str">
        <f ca="1">IF(COUNTIF(G1669:H1669,H1675)=1,"Yes","")</f>
        <v/>
      </c>
      <c r="G1680" t="str">
        <f ca="1">IF($I$26="On",IF(D1684="Override",D1685,Sheet4!A464),IF(COUNTIF(F1663:F1664,H1675)=1,H1675,IF(F1679=1,F1663,IF(F1679=2,F1664,"Neither Nominee"))))</f>
        <v>Cameron</v>
      </c>
    </row>
    <row r="1681" spans="1:8" x14ac:dyDescent="0.25">
      <c r="D1681" t="str">
        <f ca="1">IF(D1680="YES",IF(D1679=G1669,H1669,G1669),"")</f>
        <v/>
      </c>
      <c r="E1681" t="str">
        <f ca="1">IF(D1681="","",INDEX(Sheet4!$B$2:$R$18,MATCH($D$1679,Sheet4!$A$2:$A$18,0),MATCH(D1681,Sheet4!$B$1:$R$1,0)))</f>
        <v/>
      </c>
      <c r="F1681" t="str">
        <f ca="1">F1665</f>
        <v>Cody</v>
      </c>
      <c r="G1681" t="str">
        <f ca="1">IF(G1680="Neither Nominee","This POV Ceremony is adjourned",H1658&amp;" has decided to put up")</f>
        <v>Raven has decided to put up</v>
      </c>
    </row>
    <row r="1682" spans="1:8" x14ac:dyDescent="0.25">
      <c r="D1682" t="str">
        <f ca="1">IF(D1680="YES",H1668,"")</f>
        <v/>
      </c>
      <c r="E1682" t="str">
        <f ca="1">IF(D1682="","",INDEX(Sheet4!$B$2:$R$18,MATCH($D$1679,Sheet4!$A$2:$A$18,0),MATCH(D1682,Sheet4!$B$1:$R$1,0)))</f>
        <v/>
      </c>
      <c r="F1682" t="str">
        <f ca="1">F1666</f>
        <v>Jessica</v>
      </c>
      <c r="G1682" t="str">
        <f ca="1">IF(G1680="Neither Nominee","",IF(F1681=H1675,F1682,F1681))</f>
        <v>Cody</v>
      </c>
    </row>
    <row r="1683" spans="1:8" x14ac:dyDescent="0.25">
      <c r="D1683" t="str">
        <f ca="1">IF(D1680="YES",I1668,"")</f>
        <v/>
      </c>
      <c r="E1683" t="str">
        <f ca="1">IF(D1683="","",INDEX(Sheet4!$B$2:$R$18,MATCH($D$1679,Sheet4!$A$2:$A$18,0),MATCH(D1683,Sheet4!$B$1:$R$1,0)))</f>
        <v/>
      </c>
      <c r="G1683" t="s">
        <v>152</v>
      </c>
    </row>
    <row r="1684" spans="1:8" x14ac:dyDescent="0.25">
      <c r="D1684" t="str">
        <f ca="1">IF(E1681="","",IF(LARGE(E1681:E1683,1)=E1681,"Override",IF(E1681&lt;=25,"Override","")))</f>
        <v/>
      </c>
      <c r="G1684" t="str">
        <f ca="1">IF(G1663=G1680,G1682,G1663)</f>
        <v>Matt</v>
      </c>
    </row>
    <row r="1685" spans="1:8" x14ac:dyDescent="0.25">
      <c r="D1685" t="str">
        <f ca="1">IF(D1684="Override",IF(LARGE(E1681:E1683,1)=E1681,"Neither Nominee",INDEX(D1682:D1683,MATCH(LARGE(E1682:E1683,1),E1682:E1683,0))),"")</f>
        <v/>
      </c>
      <c r="G1685" t="str">
        <f ca="1">IF(G1665=G1680,G1682,G1665)</f>
        <v>Cody</v>
      </c>
    </row>
    <row r="1687" spans="1:8" x14ac:dyDescent="0.25">
      <c r="G1687" s="2" t="s">
        <v>114</v>
      </c>
    </row>
    <row r="1688" spans="1:8" x14ac:dyDescent="0.25">
      <c r="A1688" t="str">
        <f ca="1">A1636</f>
        <v>Cameron</v>
      </c>
      <c r="B1688">
        <f ca="1">IF(COUNTIF($F$1688:$H$1688,A1688)=1,"",RAND())</f>
        <v>0.57270210358585749</v>
      </c>
      <c r="F1688" s="29" t="str">
        <f ca="1">H1658</f>
        <v>Raven</v>
      </c>
      <c r="G1688" s="29" t="str">
        <f ca="1">G1684</f>
        <v>Matt</v>
      </c>
      <c r="H1688" s="29" t="str">
        <f ca="1">G1685</f>
        <v>Cody</v>
      </c>
    </row>
    <row r="1689" spans="1:8" x14ac:dyDescent="0.25">
      <c r="A1689" t="str">
        <f ca="1">A1637</f>
        <v>Cody</v>
      </c>
      <c r="B1689" t="str">
        <f ca="1">IF(COUNTIF($F$1688:$H$1688,A1689)=1,"",RAND())</f>
        <v/>
      </c>
    </row>
    <row r="1690" spans="1:8" x14ac:dyDescent="0.25">
      <c r="A1690" t="str">
        <f ca="1">A1638</f>
        <v>Jessica</v>
      </c>
      <c r="B1690">
        <f ca="1">IF(COUNTIF($F$1688:$H$1688,A1690)=1,"",RAND())</f>
        <v>0.52252842053488091</v>
      </c>
      <c r="F1690" t="str">
        <f ca="1">INDEX(A1688:A1693,MATCH(LARGE(B1688:B1693,1),B1688:B1693,0))</f>
        <v>Cameron</v>
      </c>
      <c r="G1690" t="str">
        <f ca="1">F1690&amp;"-"</f>
        <v>Cameron-</v>
      </c>
      <c r="H1690" t="str">
        <f ca="1">IF($I$26="On",INDEX(Sheet4!B469:R469,MATCH(Game!F1690,Sheet4!B466:R466,0)),IF(RANDBETWEEN(1,2)=1,Game!G1688,Game!H1688))</f>
        <v>Matt</v>
      </c>
    </row>
    <row r="1691" spans="1:8" x14ac:dyDescent="0.25">
      <c r="A1691" t="str">
        <f ca="1">A1639</f>
        <v>Matt</v>
      </c>
      <c r="B1691" t="str">
        <f ca="1">IF(COUNTIF($F$1688:$H$1688,A1691)=1,"",RAND())</f>
        <v/>
      </c>
      <c r="D1691" t="str">
        <f ca="1">G1684</f>
        <v>Matt</v>
      </c>
      <c r="E1691">
        <f ca="1">COUNTIF(H1690:H1692,D1691)</f>
        <v>2</v>
      </c>
      <c r="F1691" t="str">
        <f ca="1">INDEX(A1688:A1693,MATCH(LARGE(B1688:B1693,2),B1688:B1693,0))</f>
        <v>Jessica</v>
      </c>
      <c r="G1691" t="str">
        <f ca="1">F1691&amp;"-"</f>
        <v>Jessica-</v>
      </c>
      <c r="H1691" t="str">
        <f ca="1">IF($I$26="On",INDEX(Sheet4!B469:R469,MATCH(Game!F1691,Sheet4!B466:R466,0)),IF(RANDBETWEEN(1,2)=1,Game!G1688,Game!H1688))</f>
        <v>Matt</v>
      </c>
    </row>
    <row r="1692" spans="1:8" x14ac:dyDescent="0.25">
      <c r="A1692" t="str">
        <f ca="1">A1640</f>
        <v>Raven</v>
      </c>
      <c r="B1692" t="str">
        <f ca="1">IF(COUNTIF($F$1688:$H$1688,A1692)=1,"",RAND())</f>
        <v/>
      </c>
      <c r="D1692" t="str">
        <f ca="1">G1685</f>
        <v>Cody</v>
      </c>
      <c r="E1692">
        <f ca="1">COUNTIF(H1690:H1692,D1692)</f>
        <v>0</v>
      </c>
    </row>
    <row r="1693" spans="1:8" x14ac:dyDescent="0.25">
      <c r="G1693" t="str">
        <f ca="1">IF(E1691=E1692,"There is a tie!","")</f>
        <v/>
      </c>
    </row>
    <row r="1694" spans="1:8" x14ac:dyDescent="0.25">
      <c r="A1694" t="str">
        <f ca="1">IF(A1636=G1698,A1637,A1636)</f>
        <v>Cameron</v>
      </c>
      <c r="D1694" t="str">
        <f ca="1">D1691</f>
        <v>Matt</v>
      </c>
      <c r="E1694">
        <f ca="1">COUNTIF(H1690:H1695,D1694)</f>
        <v>2</v>
      </c>
      <c r="G1694" t="str">
        <f ca="1">IF(G1693="","",H1658&amp;", the HOH, will break the tie")</f>
        <v/>
      </c>
    </row>
    <row r="1695" spans="1:8" x14ac:dyDescent="0.25">
      <c r="A1695" t="str">
        <f ca="1">IF(A1694=A1637,A1638,IF(A1637=$G$1698,A1638,A1637))</f>
        <v>Cody</v>
      </c>
      <c r="D1695" t="str">
        <f ca="1">D1692</f>
        <v>Cody</v>
      </c>
      <c r="E1695">
        <f ca="1">COUNTIF(H1690:H1695,D1695)</f>
        <v>0</v>
      </c>
      <c r="F1695" t="str">
        <f ca="1">F1688</f>
        <v>Raven</v>
      </c>
      <c r="G1695" t="str">
        <f ca="1">IF(G1694="","",F1695&amp;"-")</f>
        <v/>
      </c>
      <c r="H1695" t="str">
        <f ca="1">IF(G1695="","",IF($I$26="On",INDEX(Sheet4!B469:R469,MATCH(Game!F1695,Sheet4!B466:R466,0)),IF(RANDBETWEEN(1,2)=1,Game!G1688,Game!H1688)))</f>
        <v/>
      </c>
    </row>
    <row r="1696" spans="1:8" x14ac:dyDescent="0.25">
      <c r="A1696" t="str">
        <f ca="1">IF(A1695=A1638,A1639,IF(A1638=$G$1698,A1639,A1638))</f>
        <v>Jessica</v>
      </c>
    </row>
    <row r="1697" spans="1:12" x14ac:dyDescent="0.25">
      <c r="A1697" t="str">
        <f ca="1">IF(A1696=A1639,A1640,IF(A1639=$G$1698,A1640,A1639))</f>
        <v>Raven</v>
      </c>
      <c r="F1697" t="str">
        <f ca="1">F1635</f>
        <v/>
      </c>
      <c r="G1697" t="str">
        <f ca="1">"By a vote of "&amp;LARGE(E1694:E1695,1)&amp;"-"&amp;SMALL(E1694:E1695,1)</f>
        <v>By a vote of 2-0</v>
      </c>
    </row>
    <row r="1698" spans="1:12" x14ac:dyDescent="0.25">
      <c r="F1698" t="str">
        <f ca="1">F1636</f>
        <v/>
      </c>
      <c r="G1698" t="str">
        <f ca="1">INDEX(D1694:D1695,MATCH(LARGE(E1694:E1695,1),E1694:E1695,0))</f>
        <v>Matt</v>
      </c>
    </row>
    <row r="1699" spans="1:12" x14ac:dyDescent="0.25">
      <c r="F1699" t="str">
        <f ca="1">F1637</f>
        <v/>
      </c>
      <c r="G1699" t="s">
        <v>62</v>
      </c>
    </row>
    <row r="1701" spans="1:12" x14ac:dyDescent="0.25">
      <c r="G1701" t="str">
        <f ca="1">IF(COUNTIF(F1697:F1699,G1698)=1,H1658&amp;" gets $5,000 for taking the bounty out","")</f>
        <v/>
      </c>
    </row>
    <row r="1703" spans="1:12" x14ac:dyDescent="0.25">
      <c r="G1703" s="2" t="s">
        <v>225</v>
      </c>
    </row>
    <row r="1704" spans="1:12" x14ac:dyDescent="0.25">
      <c r="G1704" s="16" t="str">
        <f ca="1">A1694</f>
        <v>Cameron</v>
      </c>
      <c r="H1704" s="16" t="str">
        <f ca="1">A1695</f>
        <v>Cody</v>
      </c>
      <c r="I1704" s="16" t="str">
        <f ca="1">A1696</f>
        <v>Jessica</v>
      </c>
      <c r="J1704" s="16" t="str">
        <f ca="1">A1697</f>
        <v>Raven</v>
      </c>
      <c r="K1704" s="19" t="str">
        <f ca="1">G1698</f>
        <v>Matt</v>
      </c>
      <c r="L1704" s="10"/>
    </row>
    <row r="1705" spans="1:12" x14ac:dyDescent="0.25">
      <c r="G1705" s="24" t="str">
        <f ca="1">IF(COUNTIF(B1706:F1708,G1704)=0,"","HOH - "&amp;COUNTIF(B1706:F1708,G1704))</f>
        <v/>
      </c>
      <c r="H1705" s="24" t="str">
        <f ca="1">IF(COUNTIF(B1706:F1708,H1704)=0,"","HOH - "&amp;COUNTIF(B1706:F1708,H1704))</f>
        <v>HOH - 2</v>
      </c>
      <c r="I1705" s="24" t="str">
        <f ca="1">IF(COUNTIF(B1706:F1708,I1704)=0,"","HOH - "&amp;COUNTIF(B1706:F1708,I1704))</f>
        <v>HOH - 2</v>
      </c>
      <c r="J1705" s="24" t="str">
        <f ca="1">IF(COUNTIF(B1706:F1708,J1704)=0,"","HOH - "&amp;COUNTIF(B1706:F1708,J1704))</f>
        <v>HOH - 4</v>
      </c>
      <c r="K1705" s="31" t="str">
        <f ca="1">IF(COUNTIF(B1706:F1708,K1704)=0,"","HOH - "&amp;COUNTIF(B1706:F1708,K1704))</f>
        <v/>
      </c>
      <c r="L1705" s="10"/>
    </row>
    <row r="1706" spans="1:12" x14ac:dyDescent="0.25">
      <c r="B1706" t="str">
        <f ca="1">B1644</f>
        <v>Raven</v>
      </c>
      <c r="C1706" t="str">
        <f t="shared" ref="C1706:F1706" ca="1" si="270">C1644</f>
        <v>Josh</v>
      </c>
      <c r="D1706" t="str">
        <f t="shared" ca="1" si="270"/>
        <v>Ramses</v>
      </c>
      <c r="E1706" t="str">
        <f t="shared" ca="1" si="270"/>
        <v>Cody</v>
      </c>
      <c r="F1706" t="str">
        <f t="shared" ca="1" si="270"/>
        <v>Josh</v>
      </c>
      <c r="G1706" s="24" t="str">
        <f ca="1">IF(COUNTIF(B1709:F1712,G1704)=0,"","POV - "&amp;COUNTIF(B1709:F1712,G1704))</f>
        <v>POV - 1</v>
      </c>
      <c r="H1706" s="24" t="str">
        <f ca="1">IF(COUNTIF(B1709:F1712,H1704)=0,"","POV - "&amp;COUNTIF(B1709:F1712,H1704))</f>
        <v>POV - 2</v>
      </c>
      <c r="I1706" s="24" t="str">
        <f ca="1">IF(COUNTIF(B1709:F1712,I1704)=0,"","POV - "&amp;COUNTIF(B1709:F1712,I1704))</f>
        <v/>
      </c>
      <c r="J1706" s="24" t="str">
        <f ca="1">IF(COUNTIF(B1709:F1712,J1704)=0,"","POV - "&amp;COUNTIF(B1709:F1712,J1704))</f>
        <v>POV - 2</v>
      </c>
      <c r="K1706" s="33" t="str">
        <f ca="1">IF(COUNTIF(B1709:F1712,K1704)=0,"","POV - "&amp;COUNTIF(B1709:F1712,K1704))</f>
        <v>POV - 1</v>
      </c>
      <c r="L1706" s="10"/>
    </row>
    <row r="1707" spans="1:12" x14ac:dyDescent="0.25">
      <c r="B1707" t="str">
        <f t="shared" ref="B1707:F1707" ca="1" si="271">B1645</f>
        <v>Christmas</v>
      </c>
      <c r="C1707" t="str">
        <f t="shared" ca="1" si="271"/>
        <v>Raven</v>
      </c>
      <c r="D1707" t="str">
        <f t="shared" ca="1" si="271"/>
        <v>Jessica</v>
      </c>
      <c r="E1707" t="str">
        <f t="shared" ca="1" si="271"/>
        <v>Jason</v>
      </c>
      <c r="F1707" t="str">
        <f t="shared" ca="1" si="271"/>
        <v>Raven</v>
      </c>
      <c r="G1707" s="19" t="str">
        <f t="shared" ref="G1707:L1707" ca="1" si="272">G1645</f>
        <v>Alex</v>
      </c>
      <c r="H1707" s="19" t="str">
        <f t="shared" ca="1" si="272"/>
        <v>Jason</v>
      </c>
      <c r="I1707" s="19" t="str">
        <f t="shared" ca="1" si="272"/>
        <v>Mark</v>
      </c>
      <c r="J1707" s="19" t="str">
        <f t="shared" ca="1" si="272"/>
        <v>Christmas</v>
      </c>
      <c r="K1707" s="19" t="str">
        <f t="shared" ca="1" si="272"/>
        <v>Megan</v>
      </c>
      <c r="L1707" s="19" t="str">
        <f t="shared" ca="1" si="272"/>
        <v>Jillian</v>
      </c>
    </row>
    <row r="1708" spans="1:12" x14ac:dyDescent="0.25">
      <c r="B1708" t="str">
        <f t="shared" ref="B1708:C1708" ca="1" si="273">B1646</f>
        <v>Cody</v>
      </c>
      <c r="C1708" t="str">
        <f t="shared" ca="1" si="273"/>
        <v>Jessica</v>
      </c>
      <c r="D1708" t="str">
        <f ca="1">H1658</f>
        <v>Raven</v>
      </c>
      <c r="G1708" s="31" t="str">
        <f t="shared" ref="G1708:L1708" ca="1" si="274">G1646</f>
        <v/>
      </c>
      <c r="H1708" s="31" t="str">
        <f t="shared" ca="1" si="274"/>
        <v>HOH - 1</v>
      </c>
      <c r="I1708" s="31" t="str">
        <f t="shared" ca="1" si="274"/>
        <v/>
      </c>
      <c r="J1708" s="31" t="str">
        <f t="shared" ca="1" si="274"/>
        <v>HOH - 1</v>
      </c>
      <c r="K1708" s="31" t="str">
        <f t="shared" ca="1" si="274"/>
        <v/>
      </c>
      <c r="L1708" s="31" t="str">
        <f t="shared" ca="1" si="274"/>
        <v/>
      </c>
    </row>
    <row r="1709" spans="1:12" x14ac:dyDescent="0.25">
      <c r="B1709" t="str">
        <f t="shared" ref="B1709:F1709" ca="1" si="275">B1647</f>
        <v>Christmas</v>
      </c>
      <c r="C1709" t="str">
        <f t="shared" ca="1" si="275"/>
        <v>Christmas</v>
      </c>
      <c r="D1709" t="str">
        <f t="shared" ca="1" si="275"/>
        <v>Elena</v>
      </c>
      <c r="E1709" t="str">
        <f t="shared" ca="1" si="275"/>
        <v>Megan</v>
      </c>
      <c r="F1709" t="str">
        <f t="shared" ca="1" si="275"/>
        <v>Raven</v>
      </c>
      <c r="G1709" s="33" t="str">
        <f t="shared" ref="G1709:L1709" ca="1" si="276">G1647</f>
        <v>POV - 1</v>
      </c>
      <c r="H1709" s="33" t="str">
        <f t="shared" ca="1" si="276"/>
        <v>POV - 1</v>
      </c>
      <c r="I1709" s="33" t="str">
        <f t="shared" ca="1" si="276"/>
        <v>POV - 1</v>
      </c>
      <c r="J1709" s="33" t="str">
        <f t="shared" ca="1" si="276"/>
        <v>POV - 2</v>
      </c>
      <c r="K1709" s="33" t="str">
        <f t="shared" ca="1" si="276"/>
        <v>POV - 2</v>
      </c>
      <c r="L1709" s="33" t="str">
        <f t="shared" ca="1" si="276"/>
        <v/>
      </c>
    </row>
    <row r="1710" spans="1:12" x14ac:dyDescent="0.25">
      <c r="B1710" t="str">
        <f t="shared" ref="B1710:F1710" ca="1" si="277">B1648</f>
        <v>Cody</v>
      </c>
      <c r="C1710" t="str">
        <f t="shared" ca="1" si="277"/>
        <v>Megan</v>
      </c>
      <c r="D1710" t="str">
        <f t="shared" ca="1" si="277"/>
        <v>Mark</v>
      </c>
      <c r="E1710" t="str">
        <f t="shared" ca="1" si="277"/>
        <v>Jason</v>
      </c>
      <c r="F1710" t="str">
        <f t="shared" ca="1" si="277"/>
        <v>Cody</v>
      </c>
      <c r="G1710" s="19" t="str">
        <f t="shared" ref="G1710:K1710" ca="1" si="278">G1648</f>
        <v>Josh</v>
      </c>
      <c r="H1710" s="19" t="str">
        <f t="shared" ca="1" si="278"/>
        <v>Elena</v>
      </c>
      <c r="I1710" s="19" t="str">
        <f t="shared" ca="1" si="278"/>
        <v>Ramses</v>
      </c>
      <c r="J1710" s="19" t="str">
        <f t="shared" ca="1" si="278"/>
        <v>Paul</v>
      </c>
      <c r="K1710" s="30" t="str">
        <f t="shared" ca="1" si="278"/>
        <v>Kevin</v>
      </c>
      <c r="L1710" s="19" t="str">
        <f ca="1">L1648</f>
        <v>Dominique</v>
      </c>
    </row>
    <row r="1711" spans="1:12" x14ac:dyDescent="0.25">
      <c r="B1711" t="str">
        <f t="shared" ref="B1711:F1711" ca="1" si="279">B1649</f>
        <v>Raven</v>
      </c>
      <c r="C1711" t="str">
        <f t="shared" ca="1" si="279"/>
        <v/>
      </c>
      <c r="D1711" t="str">
        <f t="shared" ca="1" si="279"/>
        <v>Alex</v>
      </c>
      <c r="E1711" t="str">
        <f t="shared" ca="1" si="279"/>
        <v/>
      </c>
      <c r="F1711" t="str">
        <f t="shared" ca="1" si="279"/>
        <v>Matt</v>
      </c>
      <c r="G1711" s="31" t="str">
        <f t="shared" ref="G1711:L1711" ca="1" si="280">G1649</f>
        <v>HOH - 2</v>
      </c>
      <c r="H1711" s="31" t="str">
        <f t="shared" ca="1" si="280"/>
        <v/>
      </c>
      <c r="I1711" s="31" t="str">
        <f t="shared" ca="1" si="280"/>
        <v>HOH - 1</v>
      </c>
      <c r="J1711" s="31" t="str">
        <f t="shared" ca="1" si="280"/>
        <v/>
      </c>
      <c r="K1711" s="32" t="str">
        <f t="shared" ca="1" si="280"/>
        <v/>
      </c>
      <c r="L1711" s="31" t="str">
        <f t="shared" ca="1" si="280"/>
        <v/>
      </c>
    </row>
    <row r="1712" spans="1:12" x14ac:dyDescent="0.25">
      <c r="B1712" t="str">
        <f ca="1">H1675</f>
        <v>Cameron</v>
      </c>
      <c r="G1712" s="33" t="str">
        <f t="shared" ref="G1712:L1712" ca="1" si="281">G1650</f>
        <v/>
      </c>
      <c r="H1712" s="33" t="str">
        <f t="shared" ca="1" si="281"/>
        <v>POV - 1</v>
      </c>
      <c r="I1712" s="33" t="str">
        <f t="shared" ca="1" si="281"/>
        <v/>
      </c>
      <c r="J1712" s="33" t="str">
        <f t="shared" ca="1" si="281"/>
        <v/>
      </c>
      <c r="K1712" s="34" t="str">
        <f t="shared" ca="1" si="281"/>
        <v/>
      </c>
      <c r="L1712" s="33" t="str">
        <f t="shared" ca="1" si="281"/>
        <v/>
      </c>
    </row>
    <row r="1714" spans="3:8" x14ac:dyDescent="0.25">
      <c r="G1714" s="2" t="s">
        <v>65</v>
      </c>
    </row>
    <row r="1715" spans="3:8" x14ac:dyDescent="0.25">
      <c r="G1715" t="s">
        <v>130</v>
      </c>
      <c r="H1715" t="str">
        <f ca="1">H1658</f>
        <v>Raven</v>
      </c>
    </row>
    <row r="1716" spans="3:8" x14ac:dyDescent="0.25">
      <c r="E1716" t="str">
        <f ca="1">A1694</f>
        <v>Cameron</v>
      </c>
      <c r="F1716">
        <f ca="1">IF($H$1715=E1716,"",RAND())</f>
        <v>0.85012489464578034</v>
      </c>
    </row>
    <row r="1717" spans="3:8" x14ac:dyDescent="0.25">
      <c r="E1717" t="str">
        <f ca="1">A1695</f>
        <v>Cody</v>
      </c>
      <c r="F1717">
        <f ca="1">IF($H$1715=E1717,"",RAND())</f>
        <v>0.57408540459176771</v>
      </c>
      <c r="G1717" t="s">
        <v>52</v>
      </c>
      <c r="H1717" t="str">
        <f ca="1">INDEX(E1716:E1719,MATCH(SMALL(F1716:F1719,1),F1716:F1719,0))</f>
        <v>Jessica</v>
      </c>
    </row>
    <row r="1718" spans="3:8" x14ac:dyDescent="0.25">
      <c r="E1718" t="str">
        <f ca="1">A1696</f>
        <v>Jessica</v>
      </c>
      <c r="F1718">
        <f ca="1">IF($H$1715=E1718,"",RAND())</f>
        <v>0.2895027760892589</v>
      </c>
      <c r="G1718" t="s">
        <v>53</v>
      </c>
      <c r="H1718" t="str">
        <f ca="1">INDEX(E1716:E1719,MATCH(SMALL(F1716:F1719,2),F1716:F1719,0))</f>
        <v>Cody</v>
      </c>
    </row>
    <row r="1719" spans="3:8" x14ac:dyDescent="0.25">
      <c r="E1719" t="str">
        <f ca="1">A1697</f>
        <v>Raven</v>
      </c>
      <c r="F1719" t="str">
        <f ca="1">IF($H$1715=E1719,"",RAND())</f>
        <v/>
      </c>
      <c r="G1719" t="s">
        <v>54</v>
      </c>
      <c r="H1719" t="str">
        <f ca="1">INDEX(E1716:E1719,MATCH(SMALL(F1716:F1719,3),F1716:F1719,0))</f>
        <v>Cameron</v>
      </c>
    </row>
    <row r="1720" spans="3:8" x14ac:dyDescent="0.25">
      <c r="G1720" t="str">
        <f ca="1">"Congratulations, "&amp;H1719</f>
        <v>Congratulations, Cameron</v>
      </c>
    </row>
    <row r="1722" spans="3:8" x14ac:dyDescent="0.25">
      <c r="F1722" t="str">
        <f ca="1">H1719</f>
        <v>Cameron</v>
      </c>
      <c r="G1722" s="2" t="s">
        <v>83</v>
      </c>
    </row>
    <row r="1723" spans="3:8" x14ac:dyDescent="0.25">
      <c r="C1723" t="str">
        <f ca="1">INDEX(Sheet4!B471:R471,MATCH(SMALL(Sheet4!B472:R472,1),Sheet4!B472:R472,0))</f>
        <v>Jessica</v>
      </c>
      <c r="D1723">
        <f ca="1">IF($I$26="On",SMALL(Sheet4!B472:R472,1),RAND())</f>
        <v>44.433469371378045</v>
      </c>
      <c r="F1723" t="str">
        <f ca="1">INDEX(C1723:C1725,MATCH(SMALL(D1723:D1725,1),D1723:D1725,0))</f>
        <v>Jessica</v>
      </c>
      <c r="G1723" t="str">
        <f ca="1">"The first person "&amp;H1719&amp;" has nominated is…"</f>
        <v>The first person Cameron has nominated is…</v>
      </c>
    </row>
    <row r="1724" spans="3:8" x14ac:dyDescent="0.25">
      <c r="C1724" t="str">
        <f ca="1">INDEX(Sheet4!B471:R471,MATCH(SMALL(Sheet4!B472:R472,2),Sheet4!B472:R472,0))</f>
        <v>Raven</v>
      </c>
      <c r="D1724">
        <f ca="1">IF($I$26="On",SMALL(Sheet4!B472:R472,2),RAND())</f>
        <v>47.409368445659858</v>
      </c>
      <c r="F1724" t="str">
        <f ca="1">INDEX(C1723:C1725,MATCH(SMALL(D1723:D1725,2),D1723:D1725,0))</f>
        <v>Raven</v>
      </c>
      <c r="G1724" t="str">
        <f ca="1">F1723</f>
        <v>Jessica</v>
      </c>
    </row>
    <row r="1725" spans="3:8" x14ac:dyDescent="0.25">
      <c r="C1725" t="str">
        <f ca="1">INDEX(Sheet4!B471:R471,MATCH(SMALL(Sheet4!B472:R472,3),Sheet4!B472:R472,0))</f>
        <v>Cody</v>
      </c>
      <c r="D1725">
        <f ca="1">IF($I$26="On",SMALL(Sheet4!B472:R472,3),RAND())</f>
        <v>69.289969172023191</v>
      </c>
      <c r="F1725" t="str">
        <f ca="1">INDEX(C1723:C1725,MATCH(SMALL(D1723:D1725,3),D1723:D1725,0))</f>
        <v>Cody</v>
      </c>
      <c r="G1725" t="str">
        <f ca="1">"The second person "&amp;H1719&amp;" has nominated is…"</f>
        <v>The second person Cameron has nominated is…</v>
      </c>
    </row>
    <row r="1726" spans="3:8" x14ac:dyDescent="0.25">
      <c r="G1726" t="str">
        <f ca="1">F1724</f>
        <v>Raven</v>
      </c>
    </row>
    <row r="1728" spans="3:8" x14ac:dyDescent="0.25">
      <c r="G1728" s="2" t="s">
        <v>106</v>
      </c>
    </row>
    <row r="1729" spans="5:9" x14ac:dyDescent="0.25">
      <c r="G1729" s="29" t="str">
        <f ca="1">F1722</f>
        <v>Cameron</v>
      </c>
      <c r="H1729" s="29" t="str">
        <f ca="1">F1723</f>
        <v>Jessica</v>
      </c>
      <c r="I1729" s="29" t="str">
        <f ca="1">F1724</f>
        <v>Raven</v>
      </c>
    </row>
    <row r="1730" spans="5:9" x14ac:dyDescent="0.25">
      <c r="G1730" s="29"/>
      <c r="H1730" s="29" t="str">
        <f ca="1">F1725</f>
        <v>Cody</v>
      </c>
      <c r="I1730" s="29"/>
    </row>
    <row r="1732" spans="5:9" x14ac:dyDescent="0.25">
      <c r="E1732" t="str">
        <f ca="1">G1729</f>
        <v>Cameron</v>
      </c>
      <c r="F1732">
        <f t="shared" ref="F1732:F1734" ca="1" si="282">RAND()</f>
        <v>1.8159493279373717E-2</v>
      </c>
      <c r="G1732" t="s">
        <v>50</v>
      </c>
      <c r="H1732" t="str">
        <f ca="1">INDEX(E1732:E1737,MATCH(SMALL(F1732:F1737,1),F1732:F1737,0))</f>
        <v>Cameron</v>
      </c>
    </row>
    <row r="1733" spans="5:9" x14ac:dyDescent="0.25">
      <c r="E1733" t="str">
        <f ca="1">H1729</f>
        <v>Jessica</v>
      </c>
      <c r="F1733">
        <f t="shared" ca="1" si="282"/>
        <v>0.27825525080205271</v>
      </c>
      <c r="G1733" t="s">
        <v>52</v>
      </c>
      <c r="H1733" t="str">
        <f ca="1">INDEX(E1732:E1737,MATCH(SMALL(F1732:F1737,2),F1732:F1737,0))</f>
        <v>Jessica</v>
      </c>
    </row>
    <row r="1734" spans="5:9" x14ac:dyDescent="0.25">
      <c r="E1734" t="str">
        <f ca="1">I1729</f>
        <v>Raven</v>
      </c>
      <c r="F1734">
        <f t="shared" ca="1" si="282"/>
        <v>0.93416144232937703</v>
      </c>
      <c r="G1734" t="s">
        <v>53</v>
      </c>
      <c r="H1734" t="str">
        <f ca="1">INDEX(E1732:E1737,MATCH(SMALL(F1732:F1737,3),F1732:F1737,0))</f>
        <v>Cody</v>
      </c>
    </row>
    <row r="1735" spans="5:9" x14ac:dyDescent="0.25">
      <c r="E1735" t="str">
        <f ca="1">H1730</f>
        <v>Cody</v>
      </c>
      <c r="F1735">
        <f ca="1">RAND()</f>
        <v>0.74213714941747455</v>
      </c>
      <c r="G1735" t="s">
        <v>54</v>
      </c>
      <c r="H1735" t="str">
        <f ca="1">INDEX(E1732:E1737,MATCH(SMALL(F1732:F1737,4),F1732:F1737,0))</f>
        <v>Raven</v>
      </c>
    </row>
    <row r="1736" spans="5:9" x14ac:dyDescent="0.25">
      <c r="G1736" t="str">
        <f ca="1">"Congratulations, "&amp;H1735</f>
        <v>Congratulations, Raven</v>
      </c>
    </row>
    <row r="1738" spans="5:9" x14ac:dyDescent="0.25">
      <c r="G1738" s="2" t="s">
        <v>111</v>
      </c>
    </row>
    <row r="1739" spans="5:9" x14ac:dyDescent="0.25">
      <c r="G1739" t="str">
        <f ca="1">H1735&amp;" has decided to use the POV to save"</f>
        <v>Raven has decided to use the POV to save</v>
      </c>
    </row>
    <row r="1740" spans="5:9" x14ac:dyDescent="0.25">
      <c r="G1740" t="str">
        <f ca="1">IF(COUNTIF(H1729:I1729,H1735)=1,H1735,"Neither Nominee")</f>
        <v>Raven</v>
      </c>
    </row>
    <row r="1741" spans="5:9" x14ac:dyDescent="0.25">
      <c r="G1741" t="str">
        <f ca="1">IF(G1740="Neither Nominee","This POV Ceremony is adjourned",H1719&amp;" has decided to put up")</f>
        <v>Cameron has decided to put up</v>
      </c>
    </row>
    <row r="1742" spans="5:9" x14ac:dyDescent="0.25">
      <c r="G1742" t="str">
        <f ca="1">IF(G1740="Neither Nominee","", E1735)</f>
        <v>Cody</v>
      </c>
    </row>
    <row r="1743" spans="5:9" x14ac:dyDescent="0.25">
      <c r="G1743" t="s">
        <v>226</v>
      </c>
    </row>
    <row r="1744" spans="5:9" x14ac:dyDescent="0.25">
      <c r="G1744" t="str">
        <f ca="1">IF(G1724=G1740,G1742,G1724)</f>
        <v>Jessica</v>
      </c>
    </row>
    <row r="1745" spans="4:12" x14ac:dyDescent="0.25">
      <c r="G1745" t="str">
        <f ca="1">IF(G1726=G1740,G1742,G1726)</f>
        <v>Cody</v>
      </c>
    </row>
    <row r="1747" spans="4:12" x14ac:dyDescent="0.25">
      <c r="G1747" s="2" t="s">
        <v>114</v>
      </c>
    </row>
    <row r="1748" spans="4:12" x14ac:dyDescent="0.25">
      <c r="F1748" s="29" t="str">
        <f ca="1">H1719</f>
        <v>Cameron</v>
      </c>
      <c r="G1748" s="29" t="str">
        <f ca="1">G1744</f>
        <v>Jessica</v>
      </c>
      <c r="H1748" s="29" t="str">
        <f ca="1">G1745</f>
        <v>Cody</v>
      </c>
    </row>
    <row r="1750" spans="4:12" x14ac:dyDescent="0.25">
      <c r="D1750" t="str">
        <f ca="1">F1750</f>
        <v>Raven</v>
      </c>
      <c r="F1750" t="str">
        <f ca="1">IF(COUNTIF(H1729:I1729,H1735),H1735,F1725)</f>
        <v>Raven</v>
      </c>
      <c r="G1750" t="str">
        <f ca="1">F1750&amp;"-"</f>
        <v>Raven-</v>
      </c>
      <c r="H1750" t="str">
        <f ca="1">IF($I$26="On",INDEX(D1751:D1752,MATCH(SMALL(E1751:E1752,1),E1751:E1752,0)),IF(RANDBETWEEN(1,2)=1,G1748,H1748))</f>
        <v>Cody</v>
      </c>
    </row>
    <row r="1751" spans="4:12" x14ac:dyDescent="0.25">
      <c r="D1751" t="str">
        <f ca="1">G1748</f>
        <v>Jessica</v>
      </c>
      <c r="E1751">
        <f ca="1">INDEX(Sheet4!$B$2:$R$18,MATCH(D1750,Sheet4!$A$2:$A$18,0),MATCH(D1751,Sheet4!$B$1:$R$1,0))</f>
        <v>82.335943293871836</v>
      </c>
    </row>
    <row r="1752" spans="4:12" x14ac:dyDescent="0.25">
      <c r="D1752" t="str">
        <f ca="1">H1748</f>
        <v>Cody</v>
      </c>
      <c r="E1752">
        <f ca="1">INDEX(Sheet4!$B$2:$R$18,MATCH(D1750,Sheet4!$A$2:$A$18,0),MATCH(D1752,Sheet4!$B$1:$R$1,0))</f>
        <v>73.03778757742748</v>
      </c>
      <c r="F1752" t="str">
        <f ca="1">F1697</f>
        <v/>
      </c>
      <c r="G1752" t="s">
        <v>227</v>
      </c>
    </row>
    <row r="1753" spans="4:12" x14ac:dyDescent="0.25">
      <c r="F1753" t="str">
        <f ca="1">F1698</f>
        <v/>
      </c>
      <c r="G1753" t="str">
        <f ca="1">H1750</f>
        <v>Cody</v>
      </c>
    </row>
    <row r="1754" spans="4:12" x14ac:dyDescent="0.25">
      <c r="D1754" t="str">
        <f ca="1">IF(A1694=G1753,A1695,A1694)</f>
        <v>Cameron</v>
      </c>
      <c r="F1754" t="str">
        <f ca="1">F1699</f>
        <v/>
      </c>
      <c r="G1754" t="s">
        <v>62</v>
      </c>
    </row>
    <row r="1755" spans="4:12" x14ac:dyDescent="0.25">
      <c r="D1755" t="str">
        <f ca="1">IF(D1754=A1695,A1696,IF(A1695=$G$1753,A1696,A1695))</f>
        <v>Jessica</v>
      </c>
    </row>
    <row r="1756" spans="4:12" x14ac:dyDescent="0.25">
      <c r="D1756" t="str">
        <f ca="1">IF(D1755=A1696,A1697,IF(A1696=$G$1753,A1697,A1696))</f>
        <v>Raven</v>
      </c>
      <c r="G1756" t="str">
        <f ca="1">IF(COUNTIF(F1752:F1754,G1753)=1,H1719&amp;" gets $5,000 for taking the bounty out","")</f>
        <v/>
      </c>
    </row>
    <row r="1758" spans="4:12" x14ac:dyDescent="0.25">
      <c r="G1758" s="2" t="s">
        <v>228</v>
      </c>
    </row>
    <row r="1759" spans="4:12" x14ac:dyDescent="0.25">
      <c r="G1759" s="16" t="str">
        <f ca="1">D1754</f>
        <v>Cameron</v>
      </c>
      <c r="H1759" s="16" t="str">
        <f ca="1">D1755</f>
        <v>Jessica</v>
      </c>
      <c r="I1759" s="16" t="str">
        <f ca="1">D1756</f>
        <v>Raven</v>
      </c>
      <c r="J1759" s="19" t="str">
        <f ca="1">G1753</f>
        <v>Cody</v>
      </c>
      <c r="K1759" s="19" t="str">
        <f t="shared" ref="K1759:K1761" ca="1" si="283">K1704</f>
        <v>Matt</v>
      </c>
      <c r="L1759" s="10"/>
    </row>
    <row r="1760" spans="4:12" x14ac:dyDescent="0.25">
      <c r="G1760" s="24" t="str">
        <f ca="1">IF(COUNTIF(B1761:F1763,G1759)=0,"","HOH - "&amp;COUNTIF(B1761:F1763,G1759))</f>
        <v>HOH - 1</v>
      </c>
      <c r="H1760" s="24" t="str">
        <f ca="1">IF(COUNTIF(B1761:F1763,H1759)=0,"","HOH - "&amp;COUNTIF(B1761:F1763,H1759))</f>
        <v>HOH - 2</v>
      </c>
      <c r="I1760" s="24" t="str">
        <f ca="1">IF(COUNTIF(B1761:F1763,I1759)=0,"","HOH - "&amp;COUNTIF(B1761:F1763,I1759))</f>
        <v>HOH - 4</v>
      </c>
      <c r="J1760" s="31" t="str">
        <f ca="1">IF(COUNTIF(B1761:F1763,J1759)=0,"","HOH - "&amp;COUNTIF(B1761:F1763,J1759))</f>
        <v>HOH - 2</v>
      </c>
      <c r="K1760" s="31" t="str">
        <f t="shared" ca="1" si="283"/>
        <v/>
      </c>
      <c r="L1760" s="10"/>
    </row>
    <row r="1761" spans="2:12" x14ac:dyDescent="0.25">
      <c r="B1761" t="str">
        <f ca="1">B1706</f>
        <v>Raven</v>
      </c>
      <c r="C1761" t="str">
        <f t="shared" ref="C1761:F1761" ca="1" si="284">C1706</f>
        <v>Josh</v>
      </c>
      <c r="D1761" t="str">
        <f t="shared" ca="1" si="284"/>
        <v>Ramses</v>
      </c>
      <c r="E1761" t="str">
        <f t="shared" ca="1" si="284"/>
        <v>Cody</v>
      </c>
      <c r="F1761" t="str">
        <f t="shared" ca="1" si="284"/>
        <v>Josh</v>
      </c>
      <c r="G1761" s="24" t="str">
        <f ca="1">IF(COUNTIF(B1764:F1767,G1759)=0,"","POV - "&amp;COUNTIF(B1764:F1767,G1759))</f>
        <v>POV - 1</v>
      </c>
      <c r="H1761" s="24" t="str">
        <f ca="1">IF(COUNTIF(B1764:F1767,H1759)=0,"","POV - "&amp;COUNTIF(B1764:F1767,H1759))</f>
        <v/>
      </c>
      <c r="I1761" s="24" t="str">
        <f ca="1">IF(COUNTIF(B1764:F1767,I1759)=0,"","POV - "&amp;COUNTIF(B1764:F1767,I1759))</f>
        <v>POV - 3</v>
      </c>
      <c r="J1761" s="33" t="str">
        <f ca="1">IF(COUNTIF(B1764:F1767,J1759)=0,"","POV - "&amp;COUNTIF(B1764:F1767,J1759))</f>
        <v>POV - 2</v>
      </c>
      <c r="K1761" s="33" t="str">
        <f t="shared" ca="1" si="283"/>
        <v>POV - 1</v>
      </c>
      <c r="L1761" s="10"/>
    </row>
    <row r="1762" spans="2:12" x14ac:dyDescent="0.25">
      <c r="B1762" t="str">
        <f t="shared" ref="B1762:F1762" ca="1" si="285">B1707</f>
        <v>Christmas</v>
      </c>
      <c r="C1762" t="str">
        <f t="shared" ca="1" si="285"/>
        <v>Raven</v>
      </c>
      <c r="D1762" t="str">
        <f t="shared" ca="1" si="285"/>
        <v>Jessica</v>
      </c>
      <c r="E1762" t="str">
        <f t="shared" ca="1" si="285"/>
        <v>Jason</v>
      </c>
      <c r="F1762" t="str">
        <f t="shared" ca="1" si="285"/>
        <v>Raven</v>
      </c>
      <c r="G1762" s="19" t="str">
        <f t="shared" ref="G1762:L1762" ca="1" si="286">G1707</f>
        <v>Alex</v>
      </c>
      <c r="H1762" s="19" t="str">
        <f t="shared" ca="1" si="286"/>
        <v>Jason</v>
      </c>
      <c r="I1762" s="19" t="str">
        <f t="shared" ca="1" si="286"/>
        <v>Mark</v>
      </c>
      <c r="J1762" s="19" t="str">
        <f t="shared" ca="1" si="286"/>
        <v>Christmas</v>
      </c>
      <c r="K1762" s="19" t="str">
        <f t="shared" ca="1" si="286"/>
        <v>Megan</v>
      </c>
      <c r="L1762" s="19" t="str">
        <f t="shared" ca="1" si="286"/>
        <v>Jillian</v>
      </c>
    </row>
    <row r="1763" spans="2:12" x14ac:dyDescent="0.25">
      <c r="B1763" t="str">
        <f t="shared" ref="B1763:D1763" ca="1" si="287">B1708</f>
        <v>Cody</v>
      </c>
      <c r="C1763" t="str">
        <f t="shared" ca="1" si="287"/>
        <v>Jessica</v>
      </c>
      <c r="D1763" t="str">
        <f t="shared" ca="1" si="287"/>
        <v>Raven</v>
      </c>
      <c r="E1763" t="str">
        <f ca="1">H1719</f>
        <v>Cameron</v>
      </c>
      <c r="G1763" s="31" t="str">
        <f t="shared" ref="G1763:L1763" ca="1" si="288">G1708</f>
        <v/>
      </c>
      <c r="H1763" s="31" t="str">
        <f t="shared" ca="1" si="288"/>
        <v>HOH - 1</v>
      </c>
      <c r="I1763" s="31" t="str">
        <f t="shared" ca="1" si="288"/>
        <v/>
      </c>
      <c r="J1763" s="31" t="str">
        <f t="shared" ca="1" si="288"/>
        <v>HOH - 1</v>
      </c>
      <c r="K1763" s="31" t="str">
        <f t="shared" ca="1" si="288"/>
        <v/>
      </c>
      <c r="L1763" s="31" t="str">
        <f t="shared" ca="1" si="288"/>
        <v/>
      </c>
    </row>
    <row r="1764" spans="2:12" x14ac:dyDescent="0.25">
      <c r="B1764" t="str">
        <f t="shared" ref="B1764:F1764" ca="1" si="289">B1709</f>
        <v>Christmas</v>
      </c>
      <c r="C1764" t="str">
        <f t="shared" ca="1" si="289"/>
        <v>Christmas</v>
      </c>
      <c r="D1764" t="str">
        <f t="shared" ca="1" si="289"/>
        <v>Elena</v>
      </c>
      <c r="E1764" t="str">
        <f t="shared" ca="1" si="289"/>
        <v>Megan</v>
      </c>
      <c r="F1764" t="str">
        <f t="shared" ca="1" si="289"/>
        <v>Raven</v>
      </c>
      <c r="G1764" s="33" t="str">
        <f t="shared" ref="G1764:L1764" ca="1" si="290">G1709</f>
        <v>POV - 1</v>
      </c>
      <c r="H1764" s="33" t="str">
        <f t="shared" ca="1" si="290"/>
        <v>POV - 1</v>
      </c>
      <c r="I1764" s="33" t="str">
        <f t="shared" ca="1" si="290"/>
        <v>POV - 1</v>
      </c>
      <c r="J1764" s="33" t="str">
        <f t="shared" ca="1" si="290"/>
        <v>POV - 2</v>
      </c>
      <c r="K1764" s="33" t="str">
        <f t="shared" ca="1" si="290"/>
        <v>POV - 2</v>
      </c>
      <c r="L1764" s="33" t="str">
        <f t="shared" ca="1" si="290"/>
        <v/>
      </c>
    </row>
    <row r="1765" spans="2:12" x14ac:dyDescent="0.25">
      <c r="B1765" t="str">
        <f t="shared" ref="B1765:F1765" ca="1" si="291">B1710</f>
        <v>Cody</v>
      </c>
      <c r="C1765" t="str">
        <f t="shared" ca="1" si="291"/>
        <v>Megan</v>
      </c>
      <c r="D1765" t="str">
        <f t="shared" ca="1" si="291"/>
        <v>Mark</v>
      </c>
      <c r="E1765" t="str">
        <f t="shared" ca="1" si="291"/>
        <v>Jason</v>
      </c>
      <c r="F1765" t="str">
        <f t="shared" ca="1" si="291"/>
        <v>Cody</v>
      </c>
      <c r="G1765" s="19" t="str">
        <f t="shared" ref="G1765:K1765" ca="1" si="292">G1710</f>
        <v>Josh</v>
      </c>
      <c r="H1765" s="19" t="str">
        <f t="shared" ca="1" si="292"/>
        <v>Elena</v>
      </c>
      <c r="I1765" s="19" t="str">
        <f t="shared" ca="1" si="292"/>
        <v>Ramses</v>
      </c>
      <c r="J1765" s="19" t="str">
        <f t="shared" ca="1" si="292"/>
        <v>Paul</v>
      </c>
      <c r="K1765" s="30" t="str">
        <f t="shared" ca="1" si="292"/>
        <v>Kevin</v>
      </c>
      <c r="L1765" s="19" t="str">
        <f ca="1">L1710</f>
        <v>Dominique</v>
      </c>
    </row>
    <row r="1766" spans="2:12" x14ac:dyDescent="0.25">
      <c r="B1766" t="str">
        <f t="shared" ref="B1766:F1766" ca="1" si="293">B1711</f>
        <v>Raven</v>
      </c>
      <c r="C1766" t="str">
        <f t="shared" ca="1" si="293"/>
        <v/>
      </c>
      <c r="D1766" t="str">
        <f t="shared" ca="1" si="293"/>
        <v>Alex</v>
      </c>
      <c r="E1766" t="str">
        <f t="shared" ca="1" si="293"/>
        <v/>
      </c>
      <c r="F1766" t="str">
        <f t="shared" ca="1" si="293"/>
        <v>Matt</v>
      </c>
      <c r="G1766" s="31" t="str">
        <f t="shared" ref="G1766:L1766" ca="1" si="294">G1711</f>
        <v>HOH - 2</v>
      </c>
      <c r="H1766" s="31" t="str">
        <f t="shared" ca="1" si="294"/>
        <v/>
      </c>
      <c r="I1766" s="31" t="str">
        <f t="shared" ca="1" si="294"/>
        <v>HOH - 1</v>
      </c>
      <c r="J1766" s="31" t="str">
        <f t="shared" ca="1" si="294"/>
        <v/>
      </c>
      <c r="K1766" s="32" t="str">
        <f t="shared" ca="1" si="294"/>
        <v/>
      </c>
      <c r="L1766" s="31" t="str">
        <f t="shared" ca="1" si="294"/>
        <v/>
      </c>
    </row>
    <row r="1767" spans="2:12" x14ac:dyDescent="0.25">
      <c r="B1767" t="str">
        <f t="shared" ref="B1767" ca="1" si="295">B1712</f>
        <v>Cameron</v>
      </c>
      <c r="C1767" t="str">
        <f ca="1">H1735</f>
        <v>Raven</v>
      </c>
      <c r="G1767" s="33" t="str">
        <f t="shared" ref="G1767:L1767" ca="1" si="296">G1712</f>
        <v/>
      </c>
      <c r="H1767" s="33" t="str">
        <f t="shared" ca="1" si="296"/>
        <v>POV - 1</v>
      </c>
      <c r="I1767" s="33" t="str">
        <f t="shared" ca="1" si="296"/>
        <v/>
      </c>
      <c r="J1767" s="33" t="str">
        <f t="shared" ca="1" si="296"/>
        <v/>
      </c>
      <c r="K1767" s="34" t="str">
        <f t="shared" ca="1" si="296"/>
        <v/>
      </c>
      <c r="L1767" s="33" t="str">
        <f t="shared" ca="1" si="296"/>
        <v/>
      </c>
    </row>
    <row r="1769" spans="2:12" x14ac:dyDescent="0.25">
      <c r="G1769" s="2" t="s">
        <v>229</v>
      </c>
    </row>
    <row r="1770" spans="2:12" x14ac:dyDescent="0.25">
      <c r="G1770" s="29" t="str">
        <f ca="1">G1759</f>
        <v>Cameron</v>
      </c>
      <c r="H1770" s="29" t="str">
        <f ca="1">H1759</f>
        <v>Jessica</v>
      </c>
      <c r="I1770" s="29" t="str">
        <f ca="1">I1759</f>
        <v>Raven</v>
      </c>
    </row>
    <row r="1772" spans="2:12" x14ac:dyDescent="0.25">
      <c r="E1772" t="str">
        <f ca="1">G1770</f>
        <v>Cameron</v>
      </c>
      <c r="F1772">
        <f ca="1">RAND()</f>
        <v>0.7984142172797194</v>
      </c>
      <c r="G1772" t="s">
        <v>52</v>
      </c>
      <c r="H1772" t="str">
        <f ca="1">INDEX(E1772:E1774,MATCH(SMALL(F1772:F1774,1),F1772:F1774,0))</f>
        <v>Raven</v>
      </c>
    </row>
    <row r="1773" spans="2:12" x14ac:dyDescent="0.25">
      <c r="E1773" t="str">
        <f ca="1">H1770</f>
        <v>Jessica</v>
      </c>
      <c r="F1773">
        <f ca="1">RAND()</f>
        <v>0.7104167007152925</v>
      </c>
      <c r="G1773" t="s">
        <v>53</v>
      </c>
      <c r="H1773" t="str">
        <f ca="1">INDEX(E1772:E1774,MATCH(SMALL(F1772:F1774,2),F1772:F1774,0))</f>
        <v>Jessica</v>
      </c>
    </row>
    <row r="1774" spans="2:12" x14ac:dyDescent="0.25">
      <c r="E1774" t="str">
        <f ca="1">I1770</f>
        <v>Raven</v>
      </c>
      <c r="F1774">
        <f ca="1">RAND()</f>
        <v>0.13023833440459176</v>
      </c>
      <c r="G1774" t="s">
        <v>54</v>
      </c>
      <c r="H1774" t="str">
        <f ca="1">INDEX(E1772:E1774,MATCH(SMALL(F1772:F1774,3),F1772:F1774,0))</f>
        <v>Cameron</v>
      </c>
    </row>
    <row r="1775" spans="2:12" x14ac:dyDescent="0.25">
      <c r="G1775" t="str">
        <f ca="1">H1774&amp;" moves on to round 3"</f>
        <v>Cameron moves on to round 3</v>
      </c>
    </row>
    <row r="1777" spans="4:8" x14ac:dyDescent="0.25">
      <c r="G1777" s="2" t="s">
        <v>230</v>
      </c>
    </row>
    <row r="1778" spans="4:8" x14ac:dyDescent="0.25">
      <c r="G1778" s="29" t="str">
        <f ca="1">IF(D1780=1,E1780,E1781)</f>
        <v>Jessica</v>
      </c>
      <c r="H1778" s="29" t="str">
        <f ca="1">IF(G1778=E1780,E1781,E1780)</f>
        <v>Raven</v>
      </c>
    </row>
    <row r="1780" spans="4:8" x14ac:dyDescent="0.25">
      <c r="D1780">
        <f ca="1">COUNTIF(E1780:E1781,"&lt;="&amp;E1780)</f>
        <v>2</v>
      </c>
      <c r="E1780" t="str">
        <f ca="1">H1772</f>
        <v>Raven</v>
      </c>
      <c r="F1780">
        <f ca="1">RAND()</f>
        <v>0.74649766248520155</v>
      </c>
      <c r="G1780" t="s">
        <v>53</v>
      </c>
      <c r="H1780" t="str">
        <f ca="1">INDEX(E1780:E1781,MATCH(SMALL(F1780:F1781,1),F1780:F1781,0))</f>
        <v>Jessica</v>
      </c>
    </row>
    <row r="1781" spans="4:8" x14ac:dyDescent="0.25">
      <c r="E1781" t="str">
        <f ca="1">H1773</f>
        <v>Jessica</v>
      </c>
      <c r="F1781">
        <f ca="1">RAND()</f>
        <v>0.22641687762568685</v>
      </c>
      <c r="G1781" t="s">
        <v>54</v>
      </c>
      <c r="H1781" t="str">
        <f ca="1">INDEX(E1780:E1781,MATCH(SMALL(F1780:F1781,2),F1780:F1781,0))</f>
        <v>Raven</v>
      </c>
    </row>
    <row r="1782" spans="4:8" x14ac:dyDescent="0.25">
      <c r="G1782" t="str">
        <f ca="1">H1781&amp;" moves on to round 3"</f>
        <v>Raven moves on to round 3</v>
      </c>
    </row>
    <row r="1784" spans="4:8" x14ac:dyDescent="0.25">
      <c r="G1784" s="2" t="s">
        <v>231</v>
      </c>
    </row>
    <row r="1785" spans="4:8" x14ac:dyDescent="0.25">
      <c r="G1785" s="29" t="str">
        <f ca="1">IF(D1787=1,E1787,E1788)</f>
        <v>Cameron</v>
      </c>
      <c r="H1785" s="29" t="str">
        <f ca="1">IF(G1785=E1787,E1788,E1787)</f>
        <v>Raven</v>
      </c>
    </row>
    <row r="1787" spans="4:8" x14ac:dyDescent="0.25">
      <c r="D1787">
        <f ca="1">COUNTIF(E1787:E1788,"&lt;="&amp;E1787)</f>
        <v>1</v>
      </c>
      <c r="E1787" t="str">
        <f ca="1">H1774</f>
        <v>Cameron</v>
      </c>
      <c r="F1787">
        <f ca="1">RAND()</f>
        <v>0.14918089004036428</v>
      </c>
      <c r="G1787" t="s">
        <v>53</v>
      </c>
      <c r="H1787" t="str">
        <f ca="1">INDEX(E1787:E1788,MATCH(SMALL(F1787:F1788,1),F1787:F1788,0))</f>
        <v>Raven</v>
      </c>
    </row>
    <row r="1788" spans="4:8" x14ac:dyDescent="0.25">
      <c r="E1788" t="str">
        <f ca="1">H1781</f>
        <v>Raven</v>
      </c>
      <c r="F1788">
        <f ca="1">RAND()</f>
        <v>4.7136575552424342E-2</v>
      </c>
      <c r="G1788" t="s">
        <v>54</v>
      </c>
      <c r="H1788" t="str">
        <f ca="1">INDEX(E1787:E1788,MATCH(SMALL(F1787:F1788,2),F1787:F1788,0))</f>
        <v>Cameron</v>
      </c>
    </row>
    <row r="1789" spans="4:8" x14ac:dyDescent="0.25">
      <c r="G1789" t="str">
        <f ca="1">H1788&amp;" wins final HOH!"</f>
        <v>Cameron wins final HOH!</v>
      </c>
    </row>
    <row r="1790" spans="4:8" x14ac:dyDescent="0.25">
      <c r="G1790" t="str">
        <f ca="1">"Congratulations, "&amp;H1788</f>
        <v>Congratulations, Cameron</v>
      </c>
    </row>
    <row r="1792" spans="4:8" x14ac:dyDescent="0.25">
      <c r="G1792" s="2" t="s">
        <v>114</v>
      </c>
    </row>
    <row r="1793" spans="2:12" x14ac:dyDescent="0.25">
      <c r="G1793" s="29" t="str">
        <f ca="1">IF(C1795=1,D1795,D1796)</f>
        <v>Jessica</v>
      </c>
      <c r="H1793" s="29" t="str">
        <f ca="1">IF(G1793=D1795,D1796,D1795)</f>
        <v>Raven</v>
      </c>
    </row>
    <row r="1794" spans="2:12" x14ac:dyDescent="0.25">
      <c r="D1794" t="str">
        <f ca="1">H1788</f>
        <v>Cameron</v>
      </c>
    </row>
    <row r="1795" spans="2:12" x14ac:dyDescent="0.25">
      <c r="C1795">
        <f ca="1">COUNTIF(D1795:D1796,"&lt;="&amp;D1795)</f>
        <v>1</v>
      </c>
      <c r="D1795" t="str">
        <f ca="1">H1780</f>
        <v>Jessica</v>
      </c>
      <c r="E1795">
        <f ca="1">INDEX(Sheet4!$B$2:$R$18,MATCH(D1794,Sheet4!$A$2:$A$18,0),MATCH(D1795,Sheet4!$B$1:$R$1,0))</f>
        <v>44.433469371378045</v>
      </c>
      <c r="F1795" t="str">
        <f ca="1">D1794</f>
        <v>Cameron</v>
      </c>
      <c r="G1795" t="str">
        <f ca="1">F1795&amp;"-"</f>
        <v>Cameron-</v>
      </c>
      <c r="H1795" t="str">
        <f ca="1">IF($I$26="On",INDEX(D1795:D1796,MATCH(SMALL(E1795:E1796,1),E1795:E1796,0)),IF(RANDBETWEEN(1,2)=1,G1793,H1793))</f>
        <v>Jessica</v>
      </c>
    </row>
    <row r="1796" spans="2:12" x14ac:dyDescent="0.25">
      <c r="D1796" t="str">
        <f ca="1">H1787</f>
        <v>Raven</v>
      </c>
      <c r="E1796">
        <f ca="1">INDEX(Sheet4!$B$2:$R$18,MATCH(D1794,Sheet4!$A$2:$A$18,0),MATCH(D1796,Sheet4!$B$1:$R$1,0))</f>
        <v>47.409368445659858</v>
      </c>
    </row>
    <row r="1797" spans="2:12" x14ac:dyDescent="0.25">
      <c r="F1797" t="str">
        <f ca="1">F1752</f>
        <v/>
      </c>
      <c r="G1797" t="s">
        <v>227</v>
      </c>
    </row>
    <row r="1798" spans="2:12" x14ac:dyDescent="0.25">
      <c r="F1798" t="str">
        <f ca="1">F1753</f>
        <v/>
      </c>
      <c r="G1798" t="str">
        <f ca="1">H1795</f>
        <v>Jessica</v>
      </c>
    </row>
    <row r="1799" spans="2:12" x14ac:dyDescent="0.25">
      <c r="F1799" t="str">
        <f ca="1">F1754</f>
        <v/>
      </c>
      <c r="G1799" t="s">
        <v>62</v>
      </c>
    </row>
    <row r="1801" spans="2:12" x14ac:dyDescent="0.25">
      <c r="G1801" t="str">
        <f ca="1">IF(COUNTIF(F1797:F1799,G1798)=1,H1788&amp;" gets $5,000 for taking the bounty out","")</f>
        <v/>
      </c>
    </row>
    <row r="1802" spans="2:12" x14ac:dyDescent="0.25">
      <c r="C1802">
        <f ca="1">IF(COUNTIF(F1797:F1799,D1802)=1,1,0)</f>
        <v>0</v>
      </c>
      <c r="D1802" t="str">
        <f ca="1">IF(E1772=G1798,E1773,E1772)</f>
        <v>Cameron</v>
      </c>
      <c r="G1802" t="str">
        <f ca="1">IF(C1804=1,"Due to the bounty being unclaimed, whoever wins will win an extra $5,000","")</f>
        <v/>
      </c>
    </row>
    <row r="1803" spans="2:12" x14ac:dyDescent="0.25">
      <c r="C1803">
        <f ca="1">IF(COUNTIF(F1797:F1799,D1803)=1,1,0)</f>
        <v>0</v>
      </c>
      <c r="D1803" t="str">
        <f ca="1">IF(D1802=E1773,E1774,IF(E1773=G1798,E1774,E1773))</f>
        <v>Raven</v>
      </c>
    </row>
    <row r="1804" spans="2:12" x14ac:dyDescent="0.25">
      <c r="C1804">
        <f ca="1">C1802+C1803</f>
        <v>0</v>
      </c>
      <c r="G1804" s="2" t="s">
        <v>232</v>
      </c>
    </row>
    <row r="1805" spans="2:12" x14ac:dyDescent="0.25">
      <c r="G1805" s="16" t="str">
        <f ca="1">D1802</f>
        <v>Cameron</v>
      </c>
      <c r="H1805" s="16" t="str">
        <f ca="1">D1803</f>
        <v>Raven</v>
      </c>
      <c r="I1805" s="19" t="str">
        <f ca="1">G1798</f>
        <v>Jessica</v>
      </c>
      <c r="J1805" s="19" t="str">
        <f t="shared" ref="J1805:K1805" ca="1" si="297">J1759</f>
        <v>Cody</v>
      </c>
      <c r="K1805" s="19" t="str">
        <f t="shared" ca="1" si="297"/>
        <v>Matt</v>
      </c>
      <c r="L1805" s="10"/>
    </row>
    <row r="1806" spans="2:12" x14ac:dyDescent="0.25">
      <c r="G1806" s="24" t="str">
        <f ca="1">IF(COUNTIF(B1807:F1809,G1805)=0,"","HOH - "&amp;COUNTIF(B1807:F1809,G1805))</f>
        <v>HOH - 2</v>
      </c>
      <c r="H1806" s="24" t="str">
        <f ca="1">IF(COUNTIF(B1807:F1809,H1805)=0,"","HOH - "&amp;COUNTIF(B1807:F1809,H1805))</f>
        <v>HOH - 4</v>
      </c>
      <c r="I1806" s="31" t="str">
        <f ca="1">IF(COUNTIF(B1807:F1809,I1805)=0,"","HOH - "&amp;COUNTIF(B1807:F1809,I1805))</f>
        <v>HOH - 2</v>
      </c>
      <c r="J1806" s="31" t="str">
        <f t="shared" ref="J1806:K1806" ca="1" si="298">J1760</f>
        <v>HOH - 2</v>
      </c>
      <c r="K1806" s="31" t="str">
        <f t="shared" ca="1" si="298"/>
        <v/>
      </c>
      <c r="L1806" s="10"/>
    </row>
    <row r="1807" spans="2:12" x14ac:dyDescent="0.25">
      <c r="B1807" t="str">
        <f ca="1">B1761</f>
        <v>Raven</v>
      </c>
      <c r="C1807" t="str">
        <f t="shared" ref="C1807:F1807" ca="1" si="299">C1761</f>
        <v>Josh</v>
      </c>
      <c r="D1807" t="str">
        <f t="shared" ca="1" si="299"/>
        <v>Ramses</v>
      </c>
      <c r="E1807" t="str">
        <f t="shared" ca="1" si="299"/>
        <v>Cody</v>
      </c>
      <c r="F1807" t="str">
        <f t="shared" ca="1" si="299"/>
        <v>Josh</v>
      </c>
      <c r="G1807" s="24" t="str">
        <f ca="1">IF(COUNTIF(B1810:F1813,G1805)=0,"","POV - "&amp;COUNTIF(B1810:F1813,G1805))</f>
        <v>POV - 1</v>
      </c>
      <c r="H1807" s="24" t="str">
        <f ca="1">IF(COUNTIF(B1810:F1813,H1805)=0,"","POV - "&amp;COUNTIF(B1810:F1813,H1805))</f>
        <v>POV - 3</v>
      </c>
      <c r="I1807" s="33" t="str">
        <f ca="1">IF(COUNTIF(B1810:F1813,I1805)=0,"","POV - "&amp;COUNTIF(B1810:F1813,I1805))</f>
        <v/>
      </c>
      <c r="J1807" s="33" t="str">
        <f t="shared" ref="J1807:K1807" ca="1" si="300">J1761</f>
        <v>POV - 2</v>
      </c>
      <c r="K1807" s="33" t="str">
        <f t="shared" ca="1" si="300"/>
        <v>POV - 1</v>
      </c>
      <c r="L1807" s="10"/>
    </row>
    <row r="1808" spans="2:12" x14ac:dyDescent="0.25">
      <c r="B1808" t="str">
        <f t="shared" ref="B1808:F1808" ca="1" si="301">B1762</f>
        <v>Christmas</v>
      </c>
      <c r="C1808" t="str">
        <f t="shared" ca="1" si="301"/>
        <v>Raven</v>
      </c>
      <c r="D1808" t="str">
        <f t="shared" ca="1" si="301"/>
        <v>Jessica</v>
      </c>
      <c r="E1808" t="str">
        <f t="shared" ca="1" si="301"/>
        <v>Jason</v>
      </c>
      <c r="F1808" t="str">
        <f t="shared" ca="1" si="301"/>
        <v>Raven</v>
      </c>
      <c r="G1808" s="19" t="str">
        <f t="shared" ref="G1808:L1808" ca="1" si="302">G1762</f>
        <v>Alex</v>
      </c>
      <c r="H1808" s="19" t="str">
        <f t="shared" ca="1" si="302"/>
        <v>Jason</v>
      </c>
      <c r="I1808" s="19" t="str">
        <f t="shared" ca="1" si="302"/>
        <v>Mark</v>
      </c>
      <c r="J1808" s="19" t="str">
        <f t="shared" ca="1" si="302"/>
        <v>Christmas</v>
      </c>
      <c r="K1808" s="19" t="str">
        <f t="shared" ca="1" si="302"/>
        <v>Megan</v>
      </c>
      <c r="L1808" s="19" t="str">
        <f t="shared" ca="1" si="302"/>
        <v>Jillian</v>
      </c>
    </row>
    <row r="1809" spans="2:12" x14ac:dyDescent="0.25">
      <c r="B1809" t="str">
        <f t="shared" ref="B1809:E1809" ca="1" si="303">B1763</f>
        <v>Cody</v>
      </c>
      <c r="C1809" t="str">
        <f t="shared" ca="1" si="303"/>
        <v>Jessica</v>
      </c>
      <c r="D1809" t="str">
        <f t="shared" ca="1" si="303"/>
        <v>Raven</v>
      </c>
      <c r="E1809" t="str">
        <f t="shared" ca="1" si="303"/>
        <v>Cameron</v>
      </c>
      <c r="F1809" t="str">
        <f ca="1">H1788</f>
        <v>Cameron</v>
      </c>
      <c r="G1809" s="31" t="str">
        <f t="shared" ref="G1809:L1809" ca="1" si="304">G1763</f>
        <v/>
      </c>
      <c r="H1809" s="31" t="str">
        <f t="shared" ca="1" si="304"/>
        <v>HOH - 1</v>
      </c>
      <c r="I1809" s="31" t="str">
        <f t="shared" ca="1" si="304"/>
        <v/>
      </c>
      <c r="J1809" s="31" t="str">
        <f t="shared" ca="1" si="304"/>
        <v>HOH - 1</v>
      </c>
      <c r="K1809" s="31" t="str">
        <f t="shared" ca="1" si="304"/>
        <v/>
      </c>
      <c r="L1809" s="31" t="str">
        <f t="shared" ca="1" si="304"/>
        <v/>
      </c>
    </row>
    <row r="1810" spans="2:12" x14ac:dyDescent="0.25">
      <c r="B1810" t="str">
        <f t="shared" ref="B1810:F1810" ca="1" si="305">B1764</f>
        <v>Christmas</v>
      </c>
      <c r="C1810" t="str">
        <f t="shared" ca="1" si="305"/>
        <v>Christmas</v>
      </c>
      <c r="D1810" t="str">
        <f t="shared" ca="1" si="305"/>
        <v>Elena</v>
      </c>
      <c r="E1810" t="str">
        <f t="shared" ca="1" si="305"/>
        <v>Megan</v>
      </c>
      <c r="F1810" t="str">
        <f t="shared" ca="1" si="305"/>
        <v>Raven</v>
      </c>
      <c r="G1810" s="33" t="str">
        <f t="shared" ref="G1810:L1810" ca="1" si="306">G1764</f>
        <v>POV - 1</v>
      </c>
      <c r="H1810" s="33" t="str">
        <f t="shared" ca="1" si="306"/>
        <v>POV - 1</v>
      </c>
      <c r="I1810" s="33" t="str">
        <f t="shared" ca="1" si="306"/>
        <v>POV - 1</v>
      </c>
      <c r="J1810" s="33" t="str">
        <f t="shared" ca="1" si="306"/>
        <v>POV - 2</v>
      </c>
      <c r="K1810" s="33" t="str">
        <f t="shared" ca="1" si="306"/>
        <v>POV - 2</v>
      </c>
      <c r="L1810" s="33" t="str">
        <f t="shared" ca="1" si="306"/>
        <v/>
      </c>
    </row>
    <row r="1811" spans="2:12" x14ac:dyDescent="0.25">
      <c r="B1811" t="str">
        <f t="shared" ref="B1811:F1811" ca="1" si="307">B1765</f>
        <v>Cody</v>
      </c>
      <c r="C1811" t="str">
        <f t="shared" ca="1" si="307"/>
        <v>Megan</v>
      </c>
      <c r="D1811" t="str">
        <f t="shared" ca="1" si="307"/>
        <v>Mark</v>
      </c>
      <c r="E1811" t="str">
        <f t="shared" ca="1" si="307"/>
        <v>Jason</v>
      </c>
      <c r="F1811" t="str">
        <f t="shared" ca="1" si="307"/>
        <v>Cody</v>
      </c>
      <c r="G1811" s="19" t="str">
        <f t="shared" ref="G1811:K1811" ca="1" si="308">G1765</f>
        <v>Josh</v>
      </c>
      <c r="H1811" s="19" t="str">
        <f t="shared" ca="1" si="308"/>
        <v>Elena</v>
      </c>
      <c r="I1811" s="19" t="str">
        <f t="shared" ca="1" si="308"/>
        <v>Ramses</v>
      </c>
      <c r="J1811" s="19" t="str">
        <f t="shared" ca="1" si="308"/>
        <v>Paul</v>
      </c>
      <c r="K1811" s="30" t="str">
        <f t="shared" ca="1" si="308"/>
        <v>Kevin</v>
      </c>
      <c r="L1811" s="19" t="str">
        <f ca="1">L1765</f>
        <v>Dominique</v>
      </c>
    </row>
    <row r="1812" spans="2:12" x14ac:dyDescent="0.25">
      <c r="B1812" t="str">
        <f t="shared" ref="B1812:F1812" ca="1" si="309">B1766</f>
        <v>Raven</v>
      </c>
      <c r="C1812" t="str">
        <f t="shared" ca="1" si="309"/>
        <v/>
      </c>
      <c r="D1812" t="str">
        <f t="shared" ca="1" si="309"/>
        <v>Alex</v>
      </c>
      <c r="E1812" t="str">
        <f t="shared" ca="1" si="309"/>
        <v/>
      </c>
      <c r="F1812" t="str">
        <f t="shared" ca="1" si="309"/>
        <v>Matt</v>
      </c>
      <c r="G1812" s="31" t="str">
        <f t="shared" ref="G1812:L1812" ca="1" si="310">G1766</f>
        <v>HOH - 2</v>
      </c>
      <c r="H1812" s="31" t="str">
        <f t="shared" ca="1" si="310"/>
        <v/>
      </c>
      <c r="I1812" s="31" t="str">
        <f t="shared" ca="1" si="310"/>
        <v>HOH - 1</v>
      </c>
      <c r="J1812" s="31" t="str">
        <f t="shared" ca="1" si="310"/>
        <v/>
      </c>
      <c r="K1812" s="32" t="str">
        <f t="shared" ca="1" si="310"/>
        <v/>
      </c>
      <c r="L1812" s="31" t="str">
        <f t="shared" ca="1" si="310"/>
        <v/>
      </c>
    </row>
    <row r="1813" spans="2:12" x14ac:dyDescent="0.25">
      <c r="B1813" t="str">
        <f t="shared" ref="B1813:C1813" ca="1" si="311">B1767</f>
        <v>Cameron</v>
      </c>
      <c r="C1813" t="str">
        <f t="shared" ca="1" si="311"/>
        <v>Raven</v>
      </c>
      <c r="G1813" s="33" t="str">
        <f t="shared" ref="G1813:L1813" ca="1" si="312">G1767</f>
        <v/>
      </c>
      <c r="H1813" s="33" t="str">
        <f t="shared" ca="1" si="312"/>
        <v>POV - 1</v>
      </c>
      <c r="I1813" s="33" t="str">
        <f t="shared" ca="1" si="312"/>
        <v/>
      </c>
      <c r="J1813" s="33" t="str">
        <f t="shared" ca="1" si="312"/>
        <v/>
      </c>
      <c r="K1813" s="34" t="str">
        <f t="shared" ca="1" si="312"/>
        <v/>
      </c>
      <c r="L1813" s="33" t="str">
        <f t="shared" ca="1" si="312"/>
        <v/>
      </c>
    </row>
    <row r="1815" spans="2:12" x14ac:dyDescent="0.25">
      <c r="B1815" t="str">
        <f ca="1">G1819</f>
        <v>Jessica</v>
      </c>
      <c r="C1815">
        <f t="shared" ref="C1815:C1823" ca="1" si="313">RAND()</f>
        <v>7.7263259496924253E-2</v>
      </c>
      <c r="D1815" t="str">
        <f ca="1">IF($I$26="On",INDEX(Sheet4!$B$477:$R$477,MATCH(B1815,Sheet4!$B$474:$R$474,0)),IF(RANDBETWEEN(1,2)=1,$G$1816,$H$1816))</f>
        <v>Raven</v>
      </c>
      <c r="E1815" t="str">
        <f ca="1">INDEX(B1815:B1823,MATCH(LARGE(C1815:C1823,1),C1815:C1823,0))</f>
        <v>Cody</v>
      </c>
      <c r="F1815" t="str">
        <f t="shared" ref="F1815:F1823" ca="1" si="314">INDEX($D$1815:$D$1823,MATCH(E1815,$B$1815:$B$1823,0))</f>
        <v>Raven</v>
      </c>
      <c r="G1815" s="87" t="s">
        <v>233</v>
      </c>
      <c r="H1815" s="87"/>
    </row>
    <row r="1816" spans="2:12" x14ac:dyDescent="0.25">
      <c r="B1816" t="str">
        <f ca="1">H1819</f>
        <v>Cody</v>
      </c>
      <c r="C1816">
        <f t="shared" ca="1" si="313"/>
        <v>0.78290253728464698</v>
      </c>
      <c r="D1816" t="str">
        <f ca="1">IF($I$26="On",INDEX(Sheet4!$B$477:$R$477,MATCH(B1816,Sheet4!$B$474:$R$474,0)),IF(RANDBETWEEN(1,2)=1,$G$1816,$H$1816))</f>
        <v>Raven</v>
      </c>
      <c r="E1816" t="str">
        <f ca="1">INDEX(B1815:B1823,MATCH(LARGE(C1815:C1823,2),C1815:C1823,0))</f>
        <v>Christmas</v>
      </c>
      <c r="F1816" t="str">
        <f t="shared" ca="1" si="314"/>
        <v>Raven</v>
      </c>
      <c r="G1816" s="29" t="str">
        <f ca="1">G1805</f>
        <v>Cameron</v>
      </c>
      <c r="H1816" s="29" t="str">
        <f ca="1">H1805</f>
        <v>Raven</v>
      </c>
    </row>
    <row r="1817" spans="2:12" x14ac:dyDescent="0.25">
      <c r="B1817" t="str">
        <f ca="1">I1819</f>
        <v>Matt</v>
      </c>
      <c r="C1817">
        <f t="shared" ca="1" si="313"/>
        <v>0.53856299520746509</v>
      </c>
      <c r="D1817" t="str">
        <f ca="1">IF($I$26="On",INDEX(Sheet4!$B$477:$R$477,MATCH(B1817,Sheet4!$B$474:$R$474,0)),IF(RANDBETWEEN(1,2)=1,$G$1816,$H$1816))</f>
        <v>Cameron</v>
      </c>
      <c r="E1817" t="str">
        <f ca="1">INDEX(B1815:B1823,MATCH(LARGE(C1815:C1823,3),C1815:C1823,0))</f>
        <v>Jillian</v>
      </c>
      <c r="F1817" t="str">
        <f t="shared" ca="1" si="314"/>
        <v>Cameron</v>
      </c>
    </row>
    <row r="1818" spans="2:12" x14ac:dyDescent="0.25">
      <c r="B1818" t="str">
        <f ca="1">J1819</f>
        <v>Alex</v>
      </c>
      <c r="C1818">
        <f t="shared" ca="1" si="313"/>
        <v>0.64413458332669216</v>
      </c>
      <c r="D1818" t="str">
        <f ca="1">IF($I$26="On",INDEX(Sheet4!$B$477:$R$477,MATCH(B1818,Sheet4!$B$474:$R$474,0)),IF(RANDBETWEEN(1,2)=1,$G$1816,$H$1816))</f>
        <v>Cameron</v>
      </c>
      <c r="E1818" t="str">
        <f ca="1">INDEX(B1815:B1823,MATCH(LARGE(C1815:C1823,4),C1815:C1823,0))</f>
        <v>Alex</v>
      </c>
      <c r="F1818" t="str">
        <f t="shared" ca="1" si="314"/>
        <v>Cameron</v>
      </c>
      <c r="G1818" s="87" t="s">
        <v>234</v>
      </c>
      <c r="H1818" s="87"/>
      <c r="I1818" s="87"/>
      <c r="J1818" s="87"/>
      <c r="K1818" s="87"/>
    </row>
    <row r="1819" spans="2:12" x14ac:dyDescent="0.25">
      <c r="B1819" t="str">
        <f ca="1">G1820</f>
        <v>Jason</v>
      </c>
      <c r="C1819">
        <f t="shared" ca="1" si="313"/>
        <v>0.60144574251630178</v>
      </c>
      <c r="D1819" t="str">
        <f ca="1">IF($I$26="On",INDEX(Sheet4!$B$477:$R$477,MATCH(B1819,Sheet4!$B$474:$R$474,0)),IF(RANDBETWEEN(1,2)=1,$G$1816,$H$1816))</f>
        <v>Raven</v>
      </c>
      <c r="E1819" t="str">
        <f ca="1">INDEX(B1815:B1823,MATCH(LARGE(C1815:C1823,5),C1815:C1823,0))</f>
        <v>Jason</v>
      </c>
      <c r="F1819" t="str">
        <f t="shared" ca="1" si="314"/>
        <v>Raven</v>
      </c>
      <c r="G1819" s="29" t="str">
        <f ca="1">I1805</f>
        <v>Jessica</v>
      </c>
      <c r="H1819" s="29" t="str">
        <f ca="1">J1805</f>
        <v>Cody</v>
      </c>
      <c r="I1819" s="29" t="str">
        <f ca="1">K1805</f>
        <v>Matt</v>
      </c>
      <c r="J1819" s="29" t="str">
        <f ca="1">G1808</f>
        <v>Alex</v>
      </c>
      <c r="K1819" s="29"/>
    </row>
    <row r="1820" spans="2:12" x14ac:dyDescent="0.25">
      <c r="B1820" t="str">
        <f ca="1">H1820</f>
        <v>Mark</v>
      </c>
      <c r="C1820">
        <f t="shared" ca="1" si="313"/>
        <v>0.58535213269691877</v>
      </c>
      <c r="D1820" t="str">
        <f ca="1">IF($I$26="On",INDEX(Sheet4!$B$477:$R$477,MATCH(B1820,Sheet4!$B$474:$R$474,0)),IF(RANDBETWEEN(1,2)=1,$G$1816,$H$1816))</f>
        <v>Cameron</v>
      </c>
      <c r="E1820" t="str">
        <f ca="1">INDEX(B1815:B1823,MATCH(LARGE(C1815:C1823,6),C1815:C1823,0))</f>
        <v>Mark</v>
      </c>
      <c r="F1820" t="str">
        <f t="shared" ca="1" si="314"/>
        <v>Cameron</v>
      </c>
      <c r="G1820" s="29" t="str">
        <f ca="1">H1808</f>
        <v>Jason</v>
      </c>
      <c r="H1820" s="29" t="str">
        <f ca="1">I1808</f>
        <v>Mark</v>
      </c>
      <c r="I1820" s="29" t="str">
        <f ca="1">J1808</f>
        <v>Christmas</v>
      </c>
      <c r="J1820" s="29" t="str">
        <f ca="1">K1808</f>
        <v>Megan</v>
      </c>
      <c r="K1820" s="29" t="str">
        <f ca="1">L1808</f>
        <v>Jillian</v>
      </c>
    </row>
    <row r="1821" spans="2:12" x14ac:dyDescent="0.25">
      <c r="B1821" t="str">
        <f ca="1">I1820</f>
        <v>Christmas</v>
      </c>
      <c r="C1821">
        <f t="shared" ca="1" si="313"/>
        <v>0.69103515295289175</v>
      </c>
      <c r="D1821" t="str">
        <f ca="1">IF($I$26="On",INDEX(Sheet4!$B$477:$R$477,MATCH(B1821,Sheet4!$B$474:$R$474,0)),IF(RANDBETWEEN(1,2)=1,$G$1816,$H$1816))</f>
        <v>Raven</v>
      </c>
      <c r="E1821" t="str">
        <f ca="1">INDEX(B1815:B1823,MATCH(LARGE(C1815:C1823,7),C1815:C1823,0))</f>
        <v>Matt</v>
      </c>
      <c r="F1821" t="str">
        <f t="shared" ca="1" si="314"/>
        <v>Cameron</v>
      </c>
    </row>
    <row r="1822" spans="2:12" x14ac:dyDescent="0.25">
      <c r="B1822" t="str">
        <f ca="1">J1820</f>
        <v>Megan</v>
      </c>
      <c r="C1822">
        <f t="shared" ca="1" si="313"/>
        <v>0.20468286352653753</v>
      </c>
      <c r="D1822" t="str">
        <f ca="1">IF($I$26="On",INDEX(Sheet4!$B$477:$R$477,MATCH(B1822,Sheet4!$B$474:$R$474,0)),IF(RANDBETWEEN(1,2)=1,$G$1816,$H$1816))</f>
        <v>Cameron</v>
      </c>
      <c r="E1822" t="str">
        <f ca="1">INDEX(B1815:B1823,MATCH(LARGE(C1815:C1823,8),C1815:C1823,0))</f>
        <v>Megan</v>
      </c>
      <c r="F1822" t="str">
        <f t="shared" ca="1" si="314"/>
        <v>Cameron</v>
      </c>
      <c r="G1822" t="s">
        <v>235</v>
      </c>
    </row>
    <row r="1823" spans="2:12" x14ac:dyDescent="0.25">
      <c r="B1823" t="str">
        <f ca="1">K1820</f>
        <v>Jillian</v>
      </c>
      <c r="C1823">
        <f t="shared" ca="1" si="313"/>
        <v>0.65646212817721727</v>
      </c>
      <c r="D1823" t="str">
        <f ca="1">IF($I$26="On",INDEX(Sheet4!$B$477:$R$477,MATCH(B1823,Sheet4!$B$474:$R$474,0)),IF(RANDBETWEEN(1,2)=1,$G$1816,$H$1816))</f>
        <v>Cameron</v>
      </c>
      <c r="E1823" t="str">
        <f ca="1">INDEX(B1815:B1823,MATCH(LARGE(C1815:C1823,9),C1815:C1823,0))</f>
        <v>Jessica</v>
      </c>
      <c r="F1823" t="str">
        <f t="shared" ca="1" si="314"/>
        <v>Raven</v>
      </c>
    </row>
    <row r="1824" spans="2:12" x14ac:dyDescent="0.25">
      <c r="G1824" t="str">
        <f ca="1">E1815&amp;" voted for…"</f>
        <v>Cody voted for…</v>
      </c>
    </row>
    <row r="1825" spans="5:7" x14ac:dyDescent="0.25">
      <c r="G1825" t="str">
        <f ca="1">F1815</f>
        <v>Raven</v>
      </c>
    </row>
    <row r="1826" spans="5:7" x14ac:dyDescent="0.25">
      <c r="G1826" t="s">
        <v>236</v>
      </c>
    </row>
    <row r="1828" spans="5:7" x14ac:dyDescent="0.25">
      <c r="E1828" t="str">
        <f ca="1">$G$1816</f>
        <v>Cameron</v>
      </c>
      <c r="F1828" t="str">
        <f ca="1">$H$1816</f>
        <v>Raven</v>
      </c>
      <c r="G1828" t="str">
        <f ca="1">E1816&amp;" voted for…"</f>
        <v>Christmas voted for…</v>
      </c>
    </row>
    <row r="1829" spans="5:7" x14ac:dyDescent="0.25">
      <c r="E1829">
        <f ca="1">COUNTIF($G$1825:G1829,E1828)</f>
        <v>0</v>
      </c>
      <c r="F1829">
        <f ca="1">COUNTIF($G$1825:G1829,F1828)</f>
        <v>2</v>
      </c>
      <c r="G1829" t="str">
        <f ca="1">F1816</f>
        <v>Raven</v>
      </c>
    </row>
    <row r="1830" spans="5:7" x14ac:dyDescent="0.25">
      <c r="G1830" t="str">
        <f ca="1">LARGE(E1829:F1829,1)&amp;"-"&amp;SMALL(E1829:F1829,1)</f>
        <v>2-0</v>
      </c>
    </row>
    <row r="1832" spans="5:7" x14ac:dyDescent="0.25">
      <c r="E1832" t="str">
        <f ca="1">$G$1816</f>
        <v>Cameron</v>
      </c>
      <c r="F1832" t="str">
        <f ca="1">$H$1816</f>
        <v>Raven</v>
      </c>
      <c r="G1832" t="str">
        <f ca="1">E1817&amp;" voted for…"</f>
        <v>Jillian voted for…</v>
      </c>
    </row>
    <row r="1833" spans="5:7" x14ac:dyDescent="0.25">
      <c r="E1833">
        <f ca="1">COUNTIF($G$1825:G1833,E1832)</f>
        <v>1</v>
      </c>
      <c r="F1833">
        <f ca="1">COUNTIF($G$1825:G1833,F1832)</f>
        <v>2</v>
      </c>
      <c r="G1833" t="str">
        <f ca="1">F1817</f>
        <v>Cameron</v>
      </c>
    </row>
    <row r="1834" spans="5:7" x14ac:dyDescent="0.25">
      <c r="G1834" t="str">
        <f ca="1">LARGE(E1833:F1833,1)&amp;"-"&amp;SMALL(E1833:F1833,1)</f>
        <v>2-1</v>
      </c>
    </row>
    <row r="1836" spans="5:7" x14ac:dyDescent="0.25">
      <c r="E1836" t="str">
        <f ca="1">$G$1816</f>
        <v>Cameron</v>
      </c>
      <c r="F1836" t="str">
        <f ca="1">$H$1816</f>
        <v>Raven</v>
      </c>
      <c r="G1836" t="str">
        <f ca="1">E1818&amp;" voted for…"</f>
        <v>Alex voted for…</v>
      </c>
    </row>
    <row r="1837" spans="5:7" x14ac:dyDescent="0.25">
      <c r="E1837">
        <f ca="1">COUNTIF($G$1825:G1837,E1836)</f>
        <v>2</v>
      </c>
      <c r="F1837">
        <f ca="1">COUNTIF($G$1825:G1837,F1836)</f>
        <v>2</v>
      </c>
      <c r="G1837" t="str">
        <f ca="1">F1818</f>
        <v>Cameron</v>
      </c>
    </row>
    <row r="1838" spans="5:7" x14ac:dyDescent="0.25">
      <c r="G1838" t="str">
        <f ca="1">LARGE(E1837:F1837,1)&amp;"-"&amp;SMALL(E1837:F1837,1)</f>
        <v>2-2</v>
      </c>
    </row>
    <row r="1840" spans="5:7" x14ac:dyDescent="0.25">
      <c r="E1840" t="str">
        <f ca="1">$G$1816</f>
        <v>Cameron</v>
      </c>
      <c r="F1840" t="str">
        <f ca="1">$H$1816</f>
        <v>Raven</v>
      </c>
      <c r="G1840" t="str">
        <f ca="1">E1819&amp;" voted for…"</f>
        <v>Jason voted for…</v>
      </c>
    </row>
    <row r="1841" spans="5:7" x14ac:dyDescent="0.25">
      <c r="E1841">
        <f ca="1">COUNTIF($G$1825:G1841,E1840)</f>
        <v>2</v>
      </c>
      <c r="F1841">
        <f ca="1">COUNTIF($G$1825:G1841,F1840)</f>
        <v>3</v>
      </c>
      <c r="G1841" t="str">
        <f ca="1">F1819</f>
        <v>Raven</v>
      </c>
    </row>
    <row r="1842" spans="5:7" x14ac:dyDescent="0.25">
      <c r="G1842" t="str">
        <f ca="1">LARGE(E1841:F1841,1)&amp;"-"&amp;SMALL(E1841:F1841,1)</f>
        <v>3-2</v>
      </c>
    </row>
    <row r="1844" spans="5:7" x14ac:dyDescent="0.25">
      <c r="E1844" t="str">
        <f ca="1">$G$1816</f>
        <v>Cameron</v>
      </c>
      <c r="F1844" t="str">
        <f ca="1">$H$1816</f>
        <v>Raven</v>
      </c>
      <c r="G1844" t="str">
        <f ca="1">IF(LARGE(E1841:F1841,1)=5,"Congratulations, "&amp;G1841&amp;"! You are the winner!",E1820&amp;" voted for…")</f>
        <v>Mark voted for…</v>
      </c>
    </row>
    <row r="1845" spans="5:7" x14ac:dyDescent="0.25">
      <c r="E1845">
        <f ca="1">COUNTIF($G$1825:G1845,E1844)</f>
        <v>3</v>
      </c>
      <c r="F1845">
        <f ca="1">COUNTIF($G$1825:G1845,F1844)</f>
        <v>3</v>
      </c>
      <c r="G1845" t="str">
        <f ca="1">IF(COUNTIF(G1844,"Congrat*")=1,"",F1820)</f>
        <v>Cameron</v>
      </c>
    </row>
    <row r="1846" spans="5:7" x14ac:dyDescent="0.25">
      <c r="G1846" t="str">
        <f ca="1">IF(G1845="","",LARGE(E1845:F1845,1)&amp;"-"&amp;SMALL(E1845:F1845,1))</f>
        <v>3-3</v>
      </c>
    </row>
    <row r="1848" spans="5:7" x14ac:dyDescent="0.25">
      <c r="E1848" t="str">
        <f ca="1">$G$1816</f>
        <v>Cameron</v>
      </c>
      <c r="F1848" t="str">
        <f ca="1">$H$1816</f>
        <v>Raven</v>
      </c>
      <c r="G1848" t="str">
        <f ca="1">IF(COUNTIF(G1844,"Congrat*")=1,"",IF(LARGE(E1845:F1845,1)=5,"Congratulations, "&amp;G1845&amp;"! You are the winner!",E1821&amp;" voted for…"))</f>
        <v>Matt voted for…</v>
      </c>
    </row>
    <row r="1849" spans="5:7" x14ac:dyDescent="0.25">
      <c r="E1849">
        <f ca="1">COUNTIF($G$1825:G1849,E1848)</f>
        <v>4</v>
      </c>
      <c r="F1849">
        <f ca="1">COUNTIF($G$1825:G1849,F1848)</f>
        <v>3</v>
      </c>
      <c r="G1849" t="str">
        <f ca="1">IF(G1848="","",IF(COUNTIF(G1848,"Congrat*")=1,"",F1821))</f>
        <v>Cameron</v>
      </c>
    </row>
    <row r="1850" spans="5:7" x14ac:dyDescent="0.25">
      <c r="G1850" t="str">
        <f ca="1">IF(G1849="","",LARGE(E1849:F1849,1)&amp;"-"&amp;SMALL(E1849:F1849,1))</f>
        <v>4-3</v>
      </c>
    </row>
    <row r="1852" spans="5:7" x14ac:dyDescent="0.25">
      <c r="E1852" t="str">
        <f ca="1">$G$1816</f>
        <v>Cameron</v>
      </c>
      <c r="F1852" t="str">
        <f ca="1">$H$1816</f>
        <v>Raven</v>
      </c>
      <c r="G1852" t="str">
        <f ca="1">IF(G1849="","",IF(COUNTIF(G1848,"Congrat*")=1,"",IF(LARGE(E1849:F1849,1)=5,"Congratulations, "&amp;G1849&amp;"! You are the winner!",E1822&amp;" voted for…")))</f>
        <v>Megan voted for…</v>
      </c>
    </row>
    <row r="1853" spans="5:7" x14ac:dyDescent="0.25">
      <c r="E1853">
        <f ca="1">COUNTIF($G$1825:G1853,E1852)</f>
        <v>5</v>
      </c>
      <c r="F1853">
        <f ca="1">COUNTIF($G$1825:G1853,F1852)</f>
        <v>3</v>
      </c>
      <c r="G1853" t="str">
        <f ca="1">IF(G1852="","",IF(COUNTIF(G1852,"Congrat*")=1,"",F1822))</f>
        <v>Cameron</v>
      </c>
    </row>
    <row r="1854" spans="5:7" x14ac:dyDescent="0.25">
      <c r="G1854" t="str">
        <f ca="1">IF(G1853="","",LARGE(E1853:F1853,1)&amp;"-"&amp;SMALL(E1853:F1853,1))</f>
        <v>5-3</v>
      </c>
    </row>
    <row r="1856" spans="5:7" x14ac:dyDescent="0.25">
      <c r="E1856" t="str">
        <f ca="1">$G$1816</f>
        <v>Cameron</v>
      </c>
      <c r="F1856" t="str">
        <f ca="1">$H$1816</f>
        <v>Raven</v>
      </c>
      <c r="G1856" t="str">
        <f ca="1">IF(G1853="","",IF(COUNTIF(G1852,"Congrat*")=1,"",IF(LARGE(E1853:F1853,1)=5,"Congratulations, "&amp;G1853&amp;"! You are the winner!",E1823&amp;" voted for…")))</f>
        <v>Congratulations, Cameron! You are the winner!</v>
      </c>
    </row>
    <row r="1857" spans="2:8" x14ac:dyDescent="0.25">
      <c r="E1857">
        <f ca="1">COUNTIF($G$1825:G1857,E1856)</f>
        <v>5</v>
      </c>
      <c r="F1857">
        <f ca="1">COUNTIF($G$1825:G1857,F1856)</f>
        <v>3</v>
      </c>
      <c r="G1857" t="str">
        <f ca="1">IF(G1856="","",IF(COUNTIF(G1856,"Congrat*")=1,"",F1823))</f>
        <v/>
      </c>
    </row>
    <row r="1858" spans="2:8" x14ac:dyDescent="0.25">
      <c r="G1858" t="str">
        <f ca="1">IF(G1857="","",LARGE(E1857:F1857,1)&amp;"-"&amp;SMALL(E1857:F1857,1))</f>
        <v/>
      </c>
    </row>
    <row r="1860" spans="2:8" x14ac:dyDescent="0.25">
      <c r="D1860" t="str">
        <f ca="1">IF(F1860="","",INDEX(C1863:C1864,MATCH(F1860,B1863:B1864,0))+COUNTIF(F1860,F1860)/10)</f>
        <v/>
      </c>
      <c r="E1860" t="str">
        <f ca="1">IF(LARGE(E1841:F1841,1)=5,E1820,"")</f>
        <v/>
      </c>
      <c r="F1860" t="str">
        <f ca="1">IF(E1860="","",F1820)</f>
        <v/>
      </c>
      <c r="G1860" t="str">
        <f ca="1">IF(G1857="","",IF(COUNTIF(G1856,"Congrat*")=1,"",IF(LARGE(E1857:F1857,1)=5,"Congratulations, "&amp;G1857&amp;"! You are the winner!",E1824&amp;" voted for…")))</f>
        <v/>
      </c>
    </row>
    <row r="1861" spans="2:8" x14ac:dyDescent="0.25">
      <c r="B1861" t="str">
        <f ca="1">E1828</f>
        <v>Cameron</v>
      </c>
      <c r="C1861">
        <f ca="1">COUNTIF(F1815:F1823,B1861)</f>
        <v>5</v>
      </c>
      <c r="D1861" t="str">
        <f ca="1">IF(F1861="","",INDEX(C1863:C1864,MATCH(F1861,B1863:B1864,0))+COUNTIF(F1860:F1861,F1861)/10)</f>
        <v/>
      </c>
      <c r="E1861" t="str">
        <f ca="1">IF(LARGE(E1845:F1845,1)=5,E1821,"")</f>
        <v/>
      </c>
      <c r="F1861" t="str">
        <f ca="1">IF(E1861="","",F1821)</f>
        <v/>
      </c>
    </row>
    <row r="1862" spans="2:8" x14ac:dyDescent="0.25">
      <c r="B1862" t="str">
        <f ca="1">F1828</f>
        <v>Raven</v>
      </c>
      <c r="C1862">
        <f ca="1">COUNTIF(F1815:F1823,B1862)</f>
        <v>4</v>
      </c>
      <c r="D1862" t="str">
        <f ca="1">IF(F1862="","",INDEX(C1863:C1864,MATCH(F1862,B1863:B1864,0))+COUNTIF(F1860:F1862,F1862)/10)</f>
        <v/>
      </c>
      <c r="E1862" t="str">
        <f ca="1">IF(LARGE(E1849:F1849,1)=5,E1822,"")</f>
        <v/>
      </c>
      <c r="F1862" t="str">
        <f ca="1">IF(E1862="","",F1822)</f>
        <v/>
      </c>
      <c r="G1862" t="str">
        <f ca="1">"Congratulations to "&amp;INDEX(B1861:B1862,MATCH(LARGE(C1861:C1862,1),C1861:C1862,0))&amp;" on winning!"</f>
        <v>Congratulations to Cameron on winning!</v>
      </c>
    </row>
    <row r="1863" spans="2:8" x14ac:dyDescent="0.25">
      <c r="B1863" t="str">
        <f ca="1">INDEX(B1861:B1862,MATCH(LARGE(C1861:C1862,1),C1861:C1862,0))</f>
        <v>Cameron</v>
      </c>
      <c r="C1863">
        <v>1</v>
      </c>
      <c r="D1863">
        <f ca="1">IF(F1863="","",INDEX(C1863:C1864,MATCH(F1863,B1863:B1864,0))+COUNTIF(F1860:F1863,F1863)/10)</f>
        <v>2.1</v>
      </c>
      <c r="E1863" t="str">
        <f ca="1">IF(LARGE(E1853:F1853,1)=5,E1823,"")</f>
        <v>Jessica</v>
      </c>
      <c r="F1863" t="str">
        <f ca="1">IF(E1863="","",F1823)</f>
        <v>Raven</v>
      </c>
    </row>
    <row r="1864" spans="2:8" x14ac:dyDescent="0.25">
      <c r="B1864" t="str">
        <f ca="1">IF(B1863=B1861,B1862,B1861)</f>
        <v>Raven</v>
      </c>
      <c r="C1864">
        <v>2</v>
      </c>
      <c r="D1864" t="str">
        <f ca="1">IF(COUNTIF(D1860:D1863,1.1)=1,INDEX(E1860:E1863,MATCH(1.1,D1860:D1863,0)),"")</f>
        <v/>
      </c>
      <c r="E1864" t="str">
        <f ca="1">IF(COUNTIF(D1860:D1863,2.1)=1,INDEX(E1860:E1863,MATCH(2.1,D1860:D1863,0)),"")</f>
        <v>Jessica</v>
      </c>
      <c r="G1864" t="str">
        <f ca="1">IF(D1868="","",D1868&amp;" also voted "&amp;B1863)</f>
        <v/>
      </c>
    </row>
    <row r="1865" spans="2:8" x14ac:dyDescent="0.25">
      <c r="D1865" t="str">
        <f ca="1">IF(COUNTIF(D1860:D1863,1.2)=1,INDEX(E1860:E1863,MATCH(1.2,D1860:D1863,0)),"")</f>
        <v/>
      </c>
      <c r="E1865" t="str">
        <f ca="1">IF(COUNTIF(D1860:D1863,2.2)=1,INDEX(E1860:E1863,MATCH(2.2,D1860:D1863,0)),"")</f>
        <v/>
      </c>
      <c r="G1865" t="str">
        <f ca="1">IF(E1868="","",E1868&amp;" voted "&amp;B1864)</f>
        <v>Jessica voted Raven</v>
      </c>
    </row>
    <row r="1866" spans="2:8" x14ac:dyDescent="0.25">
      <c r="D1866" t="str">
        <f ca="1">IF(COUNTIF(D1860:D1863,1.3)=1,INDEX(E1860:E1863,MATCH(1.3,D1860:D1863,0)),"")</f>
        <v/>
      </c>
      <c r="E1866" t="str">
        <f ca="1">IF(COUNTIF(D1860:D1863,2.3)=1,INDEX(E1860:E1863,MATCH(2.3,D1860:D1863,0)),"")</f>
        <v/>
      </c>
    </row>
    <row r="1867" spans="2:8" x14ac:dyDescent="0.25">
      <c r="D1867" t="str">
        <f ca="1">IF(COUNTIF(D1860:D1863,1.4)=1,INDEX(E1860:E1863,MATCH(1.4,D1860:D1863,0)),"")</f>
        <v/>
      </c>
      <c r="E1867" t="str">
        <f ca="1">IF(COUNTIF(D1860:D1863,2.4)=1,INDEX(E1860:E1863,MATCH(2.4,D1860:D1863,0)),"")</f>
        <v/>
      </c>
      <c r="G1867" t="str">
        <f ca="1">"The vote was "&amp;LARGE(C1861:C1862,1)&amp;"-"&amp;SMALL(C1861:C1862,1)</f>
        <v>The vote was 5-4</v>
      </c>
    </row>
    <row r="1868" spans="2:8" x14ac:dyDescent="0.25">
      <c r="D1868" t="str">
        <f ca="1">IF(D1864="","",D1864&amp;IF(D1865="","",IF(D1866=""," and "&amp;D1865,", "&amp;D1865&amp;IF(D1867=""," and "&amp;D1866,", "&amp;D1866&amp;" and "&amp;D1867))))</f>
        <v/>
      </c>
      <c r="E1868" t="str">
        <f ca="1">IF(E1864="","",E1864&amp;IF(E1865="","",IF(E1866=""," and "&amp;E1865,", "&amp;E1865&amp;IF(E1867=""," and "&amp;E1866,", "&amp;E1866&amp;" and "&amp;E1867))))</f>
        <v>Jessica</v>
      </c>
    </row>
    <row r="1869" spans="2:8" x14ac:dyDescent="0.25">
      <c r="G1869" t="str">
        <f ca="1">E1815&amp;"-"</f>
        <v>Cody-</v>
      </c>
      <c r="H1869" t="str">
        <f ca="1">F1815</f>
        <v>Raven</v>
      </c>
    </row>
    <row r="1870" spans="2:8" x14ac:dyDescent="0.25">
      <c r="G1870" t="str">
        <f t="shared" ref="G1870:G1877" ca="1" si="315">E1816&amp;"-"</f>
        <v>Christmas-</v>
      </c>
      <c r="H1870" t="str">
        <f t="shared" ref="H1870:H1877" ca="1" si="316">F1816</f>
        <v>Raven</v>
      </c>
    </row>
    <row r="1871" spans="2:8" x14ac:dyDescent="0.25">
      <c r="G1871" t="str">
        <f t="shared" ca="1" si="315"/>
        <v>Jillian-</v>
      </c>
      <c r="H1871" t="str">
        <f t="shared" ca="1" si="316"/>
        <v>Cameron</v>
      </c>
    </row>
    <row r="1872" spans="2:8" x14ac:dyDescent="0.25">
      <c r="G1872" t="str">
        <f t="shared" ca="1" si="315"/>
        <v>Alex-</v>
      </c>
      <c r="H1872" t="str">
        <f t="shared" ca="1" si="316"/>
        <v>Cameron</v>
      </c>
    </row>
    <row r="1873" spans="1:12" x14ac:dyDescent="0.25">
      <c r="G1873" t="str">
        <f t="shared" ca="1" si="315"/>
        <v>Jason-</v>
      </c>
      <c r="H1873" t="str">
        <f t="shared" ca="1" si="316"/>
        <v>Raven</v>
      </c>
    </row>
    <row r="1874" spans="1:12" x14ac:dyDescent="0.25">
      <c r="G1874" t="str">
        <f t="shared" ca="1" si="315"/>
        <v>Mark-</v>
      </c>
      <c r="H1874" t="str">
        <f t="shared" ca="1" si="316"/>
        <v>Cameron</v>
      </c>
    </row>
    <row r="1875" spans="1:12" x14ac:dyDescent="0.25">
      <c r="G1875" t="str">
        <f t="shared" ca="1" si="315"/>
        <v>Matt-</v>
      </c>
      <c r="H1875" t="str">
        <f t="shared" ca="1" si="316"/>
        <v>Cameron</v>
      </c>
    </row>
    <row r="1876" spans="1:12" x14ac:dyDescent="0.25">
      <c r="G1876" t="str">
        <f t="shared" ca="1" si="315"/>
        <v>Megan-</v>
      </c>
      <c r="H1876" t="str">
        <f t="shared" ca="1" si="316"/>
        <v>Cameron</v>
      </c>
    </row>
    <row r="1877" spans="1:12" x14ac:dyDescent="0.25">
      <c r="G1877" t="str">
        <f t="shared" ca="1" si="315"/>
        <v>Jessica-</v>
      </c>
      <c r="H1877" t="str">
        <f t="shared" ca="1" si="316"/>
        <v>Raven</v>
      </c>
    </row>
    <row r="1879" spans="1:12" x14ac:dyDescent="0.25">
      <c r="G1879" t="s">
        <v>250</v>
      </c>
    </row>
    <row r="1880" spans="1:12" x14ac:dyDescent="0.25">
      <c r="G1880" t="str">
        <f ca="1">INDEX(A1883:A1891,MATCH(LARGE(B1883:B1891,1),B1883:B1891,0))</f>
        <v>Alex</v>
      </c>
    </row>
    <row r="1882" spans="1:12" x14ac:dyDescent="0.25">
      <c r="G1882" s="2" t="s">
        <v>237</v>
      </c>
    </row>
    <row r="1883" spans="1:12" x14ac:dyDescent="0.25">
      <c r="A1883" t="str">
        <f ca="1">I1883</f>
        <v>Jessica</v>
      </c>
      <c r="B1883">
        <f ca="1">RAND()</f>
        <v>0.12122910912155616</v>
      </c>
      <c r="G1883" s="73" t="str">
        <f ca="1">B1863</f>
        <v>Cameron</v>
      </c>
      <c r="H1883" s="74" t="str">
        <f ca="1">B1864</f>
        <v>Raven</v>
      </c>
      <c r="I1883" s="19" t="str">
        <f t="shared" ref="I1883:K1891" ca="1" si="317">I1805</f>
        <v>Jessica</v>
      </c>
      <c r="J1883" s="19" t="str">
        <f t="shared" ca="1" si="317"/>
        <v>Cody</v>
      </c>
      <c r="K1883" s="19" t="str">
        <f t="shared" ca="1" si="317"/>
        <v>Matt</v>
      </c>
      <c r="L1883" s="10"/>
    </row>
    <row r="1884" spans="1:12" x14ac:dyDescent="0.25">
      <c r="A1884" t="str">
        <f ca="1">J1883</f>
        <v>Cody</v>
      </c>
      <c r="B1884">
        <f t="shared" ref="B1884:B1891" ca="1" si="318">RAND()</f>
        <v>0.38952988974448355</v>
      </c>
      <c r="G1884" s="75" t="str">
        <f ca="1">IF(G1805=G1883,G1806,H1806)</f>
        <v>HOH - 2</v>
      </c>
      <c r="H1884" s="76" t="str">
        <f ca="1">IF(G1805=H1883,G1806,H1806)</f>
        <v>HOH - 4</v>
      </c>
      <c r="I1884" s="31" t="str">
        <f t="shared" ca="1" si="317"/>
        <v>HOH - 2</v>
      </c>
      <c r="J1884" s="31" t="str">
        <f t="shared" ca="1" si="317"/>
        <v>HOH - 2</v>
      </c>
      <c r="K1884" s="31" t="str">
        <f t="shared" ca="1" si="317"/>
        <v/>
      </c>
      <c r="L1884" s="10"/>
    </row>
    <row r="1885" spans="1:12" x14ac:dyDescent="0.25">
      <c r="A1885" t="str">
        <f ca="1">K1883</f>
        <v>Matt</v>
      </c>
      <c r="B1885">
        <f t="shared" ca="1" si="318"/>
        <v>0.61334358773955266</v>
      </c>
      <c r="G1885" s="77" t="str">
        <f ca="1">IF(G1805=G1883,G1807,H1807)</f>
        <v>POV - 1</v>
      </c>
      <c r="H1885" s="78" t="str">
        <f ca="1">IF(G1805=H1883,G1807,H1807)</f>
        <v>POV - 3</v>
      </c>
      <c r="I1885" s="33" t="str">
        <f t="shared" ca="1" si="317"/>
        <v/>
      </c>
      <c r="J1885" s="33" t="str">
        <f t="shared" ca="1" si="317"/>
        <v>POV - 2</v>
      </c>
      <c r="K1885" s="33" t="str">
        <f t="shared" ca="1" si="317"/>
        <v>POV - 1</v>
      </c>
      <c r="L1885" s="10"/>
    </row>
    <row r="1886" spans="1:12" x14ac:dyDescent="0.25">
      <c r="A1886" t="str">
        <f ca="1">G1886</f>
        <v>Alex</v>
      </c>
      <c r="B1886">
        <f t="shared" ca="1" si="318"/>
        <v>0.92354703106764302</v>
      </c>
      <c r="G1886" s="19" t="str">
        <f t="shared" ref="G1886:H1891" ca="1" si="319">G1808</f>
        <v>Alex</v>
      </c>
      <c r="H1886" s="19" t="str">
        <f t="shared" ca="1" si="319"/>
        <v>Jason</v>
      </c>
      <c r="I1886" s="19" t="str">
        <f t="shared" ca="1" si="317"/>
        <v>Mark</v>
      </c>
      <c r="J1886" s="19" t="str">
        <f t="shared" ca="1" si="317"/>
        <v>Christmas</v>
      </c>
      <c r="K1886" s="19" t="str">
        <f t="shared" ca="1" si="317"/>
        <v>Megan</v>
      </c>
      <c r="L1886" s="19" t="str">
        <f t="shared" ref="L1886:L1891" ca="1" si="320">L1808</f>
        <v>Jillian</v>
      </c>
    </row>
    <row r="1887" spans="1:12" x14ac:dyDescent="0.25">
      <c r="A1887" t="str">
        <f ca="1">H1886</f>
        <v>Jason</v>
      </c>
      <c r="B1887">
        <f t="shared" ca="1" si="318"/>
        <v>0.47221016574616204</v>
      </c>
      <c r="G1887" s="31" t="str">
        <f t="shared" ca="1" si="319"/>
        <v/>
      </c>
      <c r="H1887" s="31" t="str">
        <f t="shared" ca="1" si="319"/>
        <v>HOH - 1</v>
      </c>
      <c r="I1887" s="31" t="str">
        <f t="shared" ca="1" si="317"/>
        <v/>
      </c>
      <c r="J1887" s="31" t="str">
        <f t="shared" ca="1" si="317"/>
        <v>HOH - 1</v>
      </c>
      <c r="K1887" s="31" t="str">
        <f t="shared" ca="1" si="317"/>
        <v/>
      </c>
      <c r="L1887" s="31" t="str">
        <f t="shared" ca="1" si="320"/>
        <v/>
      </c>
    </row>
    <row r="1888" spans="1:12" x14ac:dyDescent="0.25">
      <c r="A1888" t="str">
        <f ca="1">I1886</f>
        <v>Mark</v>
      </c>
      <c r="B1888">
        <f t="shared" ca="1" si="318"/>
        <v>0.66126466079753121</v>
      </c>
      <c r="G1888" s="33" t="str">
        <f t="shared" ca="1" si="319"/>
        <v>POV - 1</v>
      </c>
      <c r="H1888" s="33" t="str">
        <f t="shared" ca="1" si="319"/>
        <v>POV - 1</v>
      </c>
      <c r="I1888" s="33" t="str">
        <f t="shared" ca="1" si="317"/>
        <v>POV - 1</v>
      </c>
      <c r="J1888" s="33" t="str">
        <f t="shared" ca="1" si="317"/>
        <v>POV - 2</v>
      </c>
      <c r="K1888" s="33" t="str">
        <f t="shared" ca="1" si="317"/>
        <v>POV - 2</v>
      </c>
      <c r="L1888" s="33" t="str">
        <f t="shared" ca="1" si="320"/>
        <v/>
      </c>
    </row>
    <row r="1889" spans="1:12" x14ac:dyDescent="0.25">
      <c r="A1889" t="str">
        <f ca="1">J1886</f>
        <v>Christmas</v>
      </c>
      <c r="B1889">
        <f t="shared" ca="1" si="318"/>
        <v>0.41987348544415393</v>
      </c>
      <c r="G1889" s="19" t="str">
        <f t="shared" ca="1" si="319"/>
        <v>Josh</v>
      </c>
      <c r="H1889" s="19" t="str">
        <f t="shared" ca="1" si="319"/>
        <v>Elena</v>
      </c>
      <c r="I1889" s="19" t="str">
        <f t="shared" ca="1" si="317"/>
        <v>Ramses</v>
      </c>
      <c r="J1889" s="19" t="str">
        <f t="shared" ca="1" si="317"/>
        <v>Paul</v>
      </c>
      <c r="K1889" s="30" t="str">
        <f t="shared" ca="1" si="317"/>
        <v>Kevin</v>
      </c>
      <c r="L1889" s="19" t="str">
        <f t="shared" ca="1" si="320"/>
        <v>Dominique</v>
      </c>
    </row>
    <row r="1890" spans="1:12" x14ac:dyDescent="0.25">
      <c r="A1890" t="str">
        <f ca="1">K1886</f>
        <v>Megan</v>
      </c>
      <c r="B1890">
        <f t="shared" ca="1" si="318"/>
        <v>0.44775608362858754</v>
      </c>
      <c r="G1890" s="31" t="str">
        <f t="shared" ca="1" si="319"/>
        <v>HOH - 2</v>
      </c>
      <c r="H1890" s="31" t="str">
        <f t="shared" ca="1" si="319"/>
        <v/>
      </c>
      <c r="I1890" s="31" t="str">
        <f t="shared" ca="1" si="317"/>
        <v>HOH - 1</v>
      </c>
      <c r="J1890" s="31" t="str">
        <f t="shared" ca="1" si="317"/>
        <v/>
      </c>
      <c r="K1890" s="32" t="str">
        <f t="shared" ca="1" si="317"/>
        <v/>
      </c>
      <c r="L1890" s="31" t="str">
        <f t="shared" ca="1" si="320"/>
        <v/>
      </c>
    </row>
    <row r="1891" spans="1:12" x14ac:dyDescent="0.25">
      <c r="A1891" t="str">
        <f ca="1">L1886</f>
        <v>Jillian</v>
      </c>
      <c r="B1891">
        <f t="shared" ca="1" si="318"/>
        <v>0.84877310224785096</v>
      </c>
      <c r="G1891" s="33" t="str">
        <f t="shared" ca="1" si="319"/>
        <v/>
      </c>
      <c r="H1891" s="33" t="str">
        <f t="shared" ca="1" si="319"/>
        <v>POV - 1</v>
      </c>
      <c r="I1891" s="33" t="str">
        <f t="shared" ca="1" si="317"/>
        <v/>
      </c>
      <c r="J1891" s="33" t="str">
        <f t="shared" ca="1" si="317"/>
        <v/>
      </c>
      <c r="K1891" s="34" t="str">
        <f t="shared" ca="1" si="317"/>
        <v/>
      </c>
      <c r="L1891" s="33" t="str">
        <f t="shared" ca="1" si="320"/>
        <v/>
      </c>
    </row>
  </sheetData>
  <sheetProtection algorithmName="SHA-512" hashValue="6HaVynihjPsZir8BOiG1Ji1MvBw5UWY8uoN9+yTyImYfLOyqRiAjbQaz3Vo7H6+Ne3vDiSPk3qAzLiMCAprDJA==" saltValue="/PC4TDj98rVWJ5WRbCFseg==" spinCount="100000" sheet="1" objects="1" scenarios="1" selectLockedCells="1"/>
  <sortState xmlns:xlrd2="http://schemas.microsoft.com/office/spreadsheetml/2017/richdata2" ref="G2:G17">
    <sortCondition ref="G17"/>
  </sortState>
  <mergeCells count="2">
    <mergeCell ref="G1815:H1815"/>
    <mergeCell ref="G1818:K1818"/>
  </mergeCells>
  <conditionalFormatting sqref="G343:K345">
    <cfRule type="expression" dxfId="75" priority="131">
      <formula>COUNTIF($E$346,G$343)=1</formula>
    </cfRule>
  </conditionalFormatting>
  <conditionalFormatting sqref="G346:L348">
    <cfRule type="expression" dxfId="74" priority="132">
      <formula>COUNTIF($E$346,G$346)=1</formula>
    </cfRule>
  </conditionalFormatting>
  <conditionalFormatting sqref="G349:I351">
    <cfRule type="expression" dxfId="73" priority="133">
      <formula>COUNTIF($E$346,G$349)=1</formula>
    </cfRule>
  </conditionalFormatting>
  <conditionalFormatting sqref="H601:H603">
    <cfRule type="expression" dxfId="72" priority="54">
      <formula>$A$607=""</formula>
    </cfRule>
  </conditionalFormatting>
  <conditionalFormatting sqref="I643:I645">
    <cfRule type="expression" dxfId="71" priority="46">
      <formula>$A$607=""</formula>
    </cfRule>
  </conditionalFormatting>
  <conditionalFormatting sqref="L643:L645">
    <cfRule type="expression" dxfId="70" priority="38">
      <formula>$L$643=$K$601</formula>
    </cfRule>
  </conditionalFormatting>
  <conditionalFormatting sqref="K643:K645">
    <cfRule type="expression" dxfId="69" priority="37">
      <formula>$L$643=$K$601</formula>
    </cfRule>
  </conditionalFormatting>
  <conditionalFormatting sqref="G466:K468">
    <cfRule type="expression" dxfId="68" priority="189">
      <formula>COUNTIF($E$346,G$466)=1</formula>
    </cfRule>
  </conditionalFormatting>
  <conditionalFormatting sqref="G469:L471">
    <cfRule type="expression" dxfId="67" priority="190">
      <formula>COUNTIF($E$346,G$469)=1</formula>
    </cfRule>
  </conditionalFormatting>
  <conditionalFormatting sqref="G472:H474">
    <cfRule type="expression" dxfId="66" priority="191">
      <formula>COUNTIF($E$346,G$472)=1</formula>
    </cfRule>
  </conditionalFormatting>
  <conditionalFormatting sqref="L753:L755">
    <cfRule type="expression" dxfId="65" priority="35">
      <formula>$L$643=$K$601</formula>
    </cfRule>
  </conditionalFormatting>
  <conditionalFormatting sqref="K753:K755">
    <cfRule type="expression" dxfId="64" priority="34">
      <formula>$L$643=$K$601</formula>
    </cfRule>
  </conditionalFormatting>
  <conditionalFormatting sqref="H753:H755">
    <cfRule type="expression" dxfId="63" priority="270">
      <formula>COUNTIF($C$744:$C$745,"Halt")=0</formula>
    </cfRule>
  </conditionalFormatting>
  <conditionalFormatting sqref="L899:L901">
    <cfRule type="expression" dxfId="62" priority="31">
      <formula>$L$643=$K$601</formula>
    </cfRule>
  </conditionalFormatting>
  <conditionalFormatting sqref="K899:K901">
    <cfRule type="expression" dxfId="61" priority="30">
      <formula>$L$643=$K$601</formula>
    </cfRule>
  </conditionalFormatting>
  <conditionalFormatting sqref="G899:G901">
    <cfRule type="expression" dxfId="60" priority="32">
      <formula>COUNTIF($C$895,"Halt")=0</formula>
    </cfRule>
  </conditionalFormatting>
  <conditionalFormatting sqref="L1034:L1036">
    <cfRule type="expression" dxfId="59" priority="28">
      <formula>$L$643=$K$601</formula>
    </cfRule>
  </conditionalFormatting>
  <conditionalFormatting sqref="K1034:K1036">
    <cfRule type="expression" dxfId="58" priority="27">
      <formula>$L$643=$K$601</formula>
    </cfRule>
  </conditionalFormatting>
  <conditionalFormatting sqref="L1031:L1033">
    <cfRule type="expression" dxfId="57" priority="377">
      <formula>COUNTIF($D$1036,"Halt")=0</formula>
    </cfRule>
  </conditionalFormatting>
  <conditionalFormatting sqref="L1167:L1169">
    <cfRule type="expression" dxfId="56" priority="25">
      <formula>$L$643=$K$601</formula>
    </cfRule>
  </conditionalFormatting>
  <conditionalFormatting sqref="K1167:K1169">
    <cfRule type="expression" dxfId="55" priority="24">
      <formula>$L$643=$K$601</formula>
    </cfRule>
  </conditionalFormatting>
  <conditionalFormatting sqref="K1164:K1166">
    <cfRule type="expression" dxfId="54" priority="26">
      <formula>COUNTIF($D$1036,"Halt")=0</formula>
    </cfRule>
  </conditionalFormatting>
  <conditionalFormatting sqref="L1246:L1248">
    <cfRule type="expression" dxfId="53" priority="22">
      <formula>$L$643=$K$601</formula>
    </cfRule>
  </conditionalFormatting>
  <conditionalFormatting sqref="K1246:K1248">
    <cfRule type="expression" dxfId="52" priority="21">
      <formula>$L$643=$K$601</formula>
    </cfRule>
  </conditionalFormatting>
  <conditionalFormatting sqref="K1362:K1364">
    <cfRule type="expression" dxfId="51" priority="19">
      <formula>$L$643=$K$601</formula>
    </cfRule>
  </conditionalFormatting>
  <conditionalFormatting sqref="L1362:L1364">
    <cfRule type="expression" dxfId="50" priority="20">
      <formula>$L$643=$K$601</formula>
    </cfRule>
  </conditionalFormatting>
  <conditionalFormatting sqref="K1474:K1476">
    <cfRule type="expression" dxfId="49" priority="17">
      <formula>$L$643=$K$601</formula>
    </cfRule>
  </conditionalFormatting>
  <conditionalFormatting sqref="L1474:L1476">
    <cfRule type="expression" dxfId="48" priority="18">
      <formula>$L$643=$K$601</formula>
    </cfRule>
  </conditionalFormatting>
  <conditionalFormatting sqref="K1583:K1585">
    <cfRule type="expression" dxfId="47" priority="15">
      <formula>$L$643=$K$601</formula>
    </cfRule>
  </conditionalFormatting>
  <conditionalFormatting sqref="L1583:L1585">
    <cfRule type="expression" dxfId="46" priority="16">
      <formula>$L$643=$K$601</formula>
    </cfRule>
  </conditionalFormatting>
  <conditionalFormatting sqref="K1648:K1650">
    <cfRule type="expression" dxfId="45" priority="13">
      <formula>$L$643=$K$601</formula>
    </cfRule>
  </conditionalFormatting>
  <conditionalFormatting sqref="L1648:L1650">
    <cfRule type="expression" dxfId="44" priority="14">
      <formula>$L$643=$K$601</formula>
    </cfRule>
  </conditionalFormatting>
  <conditionalFormatting sqref="K1710:K1712">
    <cfRule type="expression" dxfId="43" priority="11">
      <formula>$L$643=$K$601</formula>
    </cfRule>
  </conditionalFormatting>
  <conditionalFormatting sqref="L1710:L1712">
    <cfRule type="expression" dxfId="42" priority="12">
      <formula>$L$643=$K$601</formula>
    </cfRule>
  </conditionalFormatting>
  <conditionalFormatting sqref="K1765:K1767">
    <cfRule type="expression" dxfId="41" priority="9">
      <formula>$L$643=$K$601</formula>
    </cfRule>
  </conditionalFormatting>
  <conditionalFormatting sqref="L1765:L1767">
    <cfRule type="expression" dxfId="40" priority="10">
      <formula>$L$643=$K$601</formula>
    </cfRule>
  </conditionalFormatting>
  <conditionalFormatting sqref="K1811:K1813">
    <cfRule type="expression" dxfId="39" priority="7">
      <formula>$L$643=$K$601</formula>
    </cfRule>
  </conditionalFormatting>
  <conditionalFormatting sqref="L1811:L1813">
    <cfRule type="expression" dxfId="38" priority="8">
      <formula>$L$643=$K$601</formula>
    </cfRule>
  </conditionalFormatting>
  <conditionalFormatting sqref="K1889:K1891">
    <cfRule type="expression" dxfId="37" priority="5">
      <formula>$L$643=$K$601</formula>
    </cfRule>
  </conditionalFormatting>
  <conditionalFormatting sqref="L1889:L1891">
    <cfRule type="expression" dxfId="36" priority="6">
      <formula>$L$643=$K$601</formula>
    </cfRule>
  </conditionalFormatting>
  <conditionalFormatting sqref="H1885">
    <cfRule type="containsText" dxfId="35" priority="1" operator="containsText" text="*^">
      <formula>NOT(ISERROR(SEARCH("*^",H1885)))</formula>
    </cfRule>
  </conditionalFormatting>
  <conditionalFormatting sqref="G1884">
    <cfRule type="containsText" dxfId="34" priority="4" operator="containsText" text="*^">
      <formula>NOT(ISERROR(SEARCH("*^",G1884)))</formula>
    </cfRule>
  </conditionalFormatting>
  <conditionalFormatting sqref="G1885">
    <cfRule type="containsText" dxfId="33" priority="3" operator="containsText" text="*^">
      <formula>NOT(ISERROR(SEARCH("*^",G1885)))</formula>
    </cfRule>
  </conditionalFormatting>
  <conditionalFormatting sqref="H1884">
    <cfRule type="containsText" dxfId="32" priority="2" operator="containsText" text="*^">
      <formula>NOT(ISERROR(SEARCH("*^",H1884)))</formula>
    </cfRule>
  </conditionalFormatting>
  <hyperlinks>
    <hyperlink ref="G24" location="Popularity!A1" display="Popularity!A1" xr:uid="{B13C6EF6-E532-419C-85E4-F4AD7914E8CE}"/>
    <hyperlink ref="G27" location="Relationships!A1" display="Relationships!A1" xr:uid="{BA43175E-B4D7-4CA5-B048-E5FE8CD0C66B}"/>
  </hyperlinks>
  <pageMargins left="0.7" right="0.7" top="0.75" bottom="0.75" header="0.3" footer="0.3"/>
  <pageSetup paperSize="9" orientation="portrait" r:id="rId1"/>
  <ignoredErrors>
    <ignoredError sqref="D71:D78 G145 G1645:G1647" formula="1"/>
    <ignoredError sqref="F1104"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6066A-69C8-4C26-A4C5-A96A2DF772A8}">
  <sheetPr codeName="Sheet3"/>
  <dimension ref="A1:R30"/>
  <sheetViews>
    <sheetView zoomScale="95" zoomScaleNormal="95" workbookViewId="0">
      <selection activeCell="D18" sqref="D18"/>
    </sheetView>
  </sheetViews>
  <sheetFormatPr defaultColWidth="10.7109375" defaultRowHeight="15" x14ac:dyDescent="0.25"/>
  <sheetData>
    <row r="1" spans="1:18" x14ac:dyDescent="0.25">
      <c r="A1" s="2" t="s">
        <v>41</v>
      </c>
      <c r="D1" s="11" t="s">
        <v>19</v>
      </c>
    </row>
    <row r="2" spans="1:18" x14ac:dyDescent="0.25">
      <c r="A2" s="11"/>
      <c r="B2" s="12" t="str">
        <f>A19</f>
        <v>Raven</v>
      </c>
      <c r="C2" s="12" t="str">
        <f>A18</f>
        <v>Ramses</v>
      </c>
      <c r="D2" s="12" t="str">
        <f>A17</f>
        <v>Paul</v>
      </c>
      <c r="E2" s="12" t="str">
        <f>A16</f>
        <v>Megan</v>
      </c>
      <c r="F2" s="12" t="str">
        <f>A15</f>
        <v>Matt</v>
      </c>
      <c r="G2" s="12" t="str">
        <f>A14</f>
        <v>Mark</v>
      </c>
      <c r="H2" s="12" t="str">
        <f>A13</f>
        <v>Kevin</v>
      </c>
      <c r="I2" s="12" t="str">
        <f>A12</f>
        <v>Josh</v>
      </c>
      <c r="J2" s="12" t="str">
        <f>A11</f>
        <v>Jillian</v>
      </c>
      <c r="K2" s="12" t="str">
        <f>A10</f>
        <v>Jessica</v>
      </c>
      <c r="L2" s="12" t="str">
        <f>A9</f>
        <v>Jason</v>
      </c>
      <c r="M2" s="12" t="str">
        <f>A8</f>
        <v>Elena</v>
      </c>
      <c r="N2" s="12" t="str">
        <f>A7</f>
        <v>Dominique</v>
      </c>
      <c r="O2" s="12" t="str">
        <f>A6</f>
        <v>Cody</v>
      </c>
      <c r="P2" s="12" t="str">
        <f>A5</f>
        <v>Christmas</v>
      </c>
      <c r="Q2" s="12" t="str">
        <f>A4</f>
        <v>Cameron</v>
      </c>
      <c r="R2" s="12" t="str">
        <f>A3</f>
        <v>Alex</v>
      </c>
    </row>
    <row r="3" spans="1:18" x14ac:dyDescent="0.25">
      <c r="A3" s="12" t="str">
        <f>Popularity!A11</f>
        <v>Alex</v>
      </c>
      <c r="B3" s="12"/>
      <c r="C3" s="12"/>
      <c r="D3" s="12"/>
      <c r="E3" s="12"/>
      <c r="F3" s="12"/>
      <c r="G3" s="12"/>
      <c r="H3" s="12"/>
      <c r="I3" s="12"/>
      <c r="J3" s="12"/>
      <c r="K3" s="12"/>
      <c r="L3" s="12"/>
      <c r="M3" s="12"/>
      <c r="N3" s="12"/>
      <c r="O3" s="12"/>
      <c r="P3" s="12"/>
      <c r="Q3" s="12"/>
    </row>
    <row r="4" spans="1:18" x14ac:dyDescent="0.25">
      <c r="A4" s="12" t="str">
        <f>Popularity!A12</f>
        <v>Cameron</v>
      </c>
      <c r="B4" s="12"/>
      <c r="C4" s="12"/>
      <c r="D4" s="12"/>
      <c r="E4" s="12"/>
      <c r="F4" s="12"/>
      <c r="G4" s="12"/>
      <c r="H4" s="12"/>
      <c r="I4" s="12"/>
      <c r="J4" s="12"/>
      <c r="K4" s="12"/>
      <c r="L4" s="12"/>
      <c r="M4" s="12"/>
      <c r="N4" s="12"/>
      <c r="O4" s="12"/>
      <c r="P4" s="12"/>
    </row>
    <row r="5" spans="1:18" x14ac:dyDescent="0.25">
      <c r="A5" s="12" t="str">
        <f>Popularity!A13</f>
        <v>Christmas</v>
      </c>
      <c r="B5" s="12"/>
      <c r="C5" s="12"/>
      <c r="D5" s="12"/>
      <c r="E5" s="12"/>
      <c r="F5" s="12"/>
      <c r="G5" s="12"/>
      <c r="H5" s="12"/>
      <c r="I5" s="12"/>
      <c r="J5" s="12"/>
      <c r="K5" s="12"/>
      <c r="L5" s="12"/>
      <c r="M5" s="12"/>
      <c r="N5" s="12"/>
      <c r="O5" s="12"/>
    </row>
    <row r="6" spans="1:18" x14ac:dyDescent="0.25">
      <c r="A6" s="12" t="str">
        <f>Popularity!A14</f>
        <v>Cody</v>
      </c>
      <c r="B6" s="12"/>
      <c r="C6" s="12"/>
      <c r="D6" s="12"/>
      <c r="E6" s="12"/>
      <c r="F6" s="12"/>
      <c r="G6" s="12"/>
      <c r="H6" s="12"/>
      <c r="I6" s="12"/>
      <c r="J6" s="12"/>
      <c r="K6" s="12"/>
      <c r="L6" s="12"/>
      <c r="M6" s="12"/>
      <c r="N6" s="12"/>
    </row>
    <row r="7" spans="1:18" x14ac:dyDescent="0.25">
      <c r="A7" s="12" t="str">
        <f>Popularity!A15</f>
        <v>Dominique</v>
      </c>
      <c r="B7" s="12"/>
      <c r="C7" s="12"/>
      <c r="D7" s="12"/>
      <c r="E7" s="12"/>
      <c r="F7" s="12"/>
      <c r="G7" s="12"/>
      <c r="H7" s="12"/>
      <c r="I7" s="12"/>
      <c r="J7" s="12"/>
      <c r="K7" s="12"/>
      <c r="L7" s="12"/>
      <c r="M7" s="12"/>
    </row>
    <row r="8" spans="1:18" x14ac:dyDescent="0.25">
      <c r="A8" s="12" t="str">
        <f>Popularity!A16</f>
        <v>Elena</v>
      </c>
      <c r="B8" s="12"/>
      <c r="C8" s="12"/>
      <c r="D8" s="12"/>
      <c r="E8" s="12"/>
      <c r="F8" s="12"/>
      <c r="G8" s="12"/>
      <c r="H8" s="12"/>
      <c r="I8" s="12"/>
      <c r="J8" s="12"/>
      <c r="K8" s="12"/>
      <c r="L8" s="12"/>
    </row>
    <row r="9" spans="1:18" x14ac:dyDescent="0.25">
      <c r="A9" s="12" t="str">
        <f>Popularity!A17</f>
        <v>Jason</v>
      </c>
      <c r="B9" s="12"/>
      <c r="C9" s="12"/>
      <c r="D9" s="12"/>
      <c r="E9" s="12"/>
      <c r="F9" s="12"/>
      <c r="G9" s="12"/>
      <c r="H9" s="12"/>
      <c r="I9" s="12"/>
      <c r="J9" s="12"/>
      <c r="K9" s="12"/>
    </row>
    <row r="10" spans="1:18" x14ac:dyDescent="0.25">
      <c r="A10" s="12" t="str">
        <f>Popularity!A18</f>
        <v>Jessica</v>
      </c>
      <c r="B10" s="12"/>
      <c r="C10" s="12"/>
      <c r="D10" s="12"/>
      <c r="E10" s="12"/>
      <c r="F10" s="12"/>
      <c r="G10" s="12"/>
      <c r="H10" s="12"/>
      <c r="I10" s="12"/>
      <c r="J10" s="12"/>
    </row>
    <row r="11" spans="1:18" x14ac:dyDescent="0.25">
      <c r="A11" s="12" t="str">
        <f>Popularity!A19</f>
        <v>Jillian</v>
      </c>
      <c r="B11" s="12"/>
      <c r="C11" s="12"/>
      <c r="D11" s="12"/>
      <c r="E11" s="12"/>
      <c r="F11" s="12"/>
      <c r="G11" s="12"/>
      <c r="H11" s="12"/>
      <c r="I11" s="12"/>
    </row>
    <row r="12" spans="1:18" x14ac:dyDescent="0.25">
      <c r="A12" s="12" t="str">
        <f>Popularity!A20</f>
        <v>Josh</v>
      </c>
      <c r="B12" s="12"/>
      <c r="C12" s="12"/>
      <c r="D12" s="12"/>
      <c r="E12" s="12"/>
      <c r="F12" s="12"/>
      <c r="G12" s="12"/>
      <c r="H12" s="12"/>
    </row>
    <row r="13" spans="1:18" x14ac:dyDescent="0.25">
      <c r="A13" s="12" t="str">
        <f>Popularity!A21</f>
        <v>Kevin</v>
      </c>
      <c r="B13" s="12"/>
      <c r="C13" s="12"/>
      <c r="D13" s="12"/>
      <c r="E13" s="12"/>
      <c r="F13" s="12"/>
      <c r="G13" s="12"/>
    </row>
    <row r="14" spans="1:18" x14ac:dyDescent="0.25">
      <c r="A14" s="12" t="str">
        <f>Popularity!A22</f>
        <v>Mark</v>
      </c>
      <c r="B14" s="12"/>
      <c r="C14" s="12"/>
      <c r="D14" s="12"/>
      <c r="E14" s="12"/>
      <c r="F14" s="12"/>
    </row>
    <row r="15" spans="1:18" x14ac:dyDescent="0.25">
      <c r="A15" s="12" t="str">
        <f>Popularity!A23</f>
        <v>Matt</v>
      </c>
      <c r="B15" s="12"/>
      <c r="C15" s="12"/>
      <c r="D15" s="12"/>
      <c r="E15" s="12"/>
    </row>
    <row r="16" spans="1:18" x14ac:dyDescent="0.25">
      <c r="A16" s="12" t="str">
        <f>Popularity!A24</f>
        <v>Megan</v>
      </c>
      <c r="B16" s="12"/>
      <c r="C16" s="12"/>
      <c r="D16" s="12"/>
    </row>
    <row r="17" spans="1:3" x14ac:dyDescent="0.25">
      <c r="A17" s="12" t="str">
        <f>Popularity!A25</f>
        <v>Paul</v>
      </c>
      <c r="B17" s="12"/>
      <c r="C17" s="12"/>
    </row>
    <row r="18" spans="1:3" x14ac:dyDescent="0.25">
      <c r="A18" s="12" t="str">
        <f>Popularity!A26</f>
        <v>Ramses</v>
      </c>
      <c r="B18" s="12"/>
    </row>
    <row r="19" spans="1:3" x14ac:dyDescent="0.25">
      <c r="A19" s="12" t="str">
        <f>Popularity!A27</f>
        <v>Raven</v>
      </c>
    </row>
    <row r="21" spans="1:3" x14ac:dyDescent="0.25">
      <c r="A21" t="s">
        <v>42</v>
      </c>
    </row>
    <row r="22" spans="1:3" x14ac:dyDescent="0.25">
      <c r="A22" t="s">
        <v>43</v>
      </c>
      <c r="B22">
        <v>0</v>
      </c>
    </row>
    <row r="23" spans="1:3" x14ac:dyDescent="0.25">
      <c r="A23" t="s">
        <v>44</v>
      </c>
      <c r="B23">
        <v>85</v>
      </c>
    </row>
    <row r="25" spans="1:3" x14ac:dyDescent="0.25">
      <c r="A25" t="s">
        <v>45</v>
      </c>
    </row>
    <row r="26" spans="1:3" x14ac:dyDescent="0.25">
      <c r="A26" t="s">
        <v>43</v>
      </c>
      <c r="B26">
        <v>65</v>
      </c>
    </row>
    <row r="28" spans="1:3" x14ac:dyDescent="0.25">
      <c r="A28" t="s">
        <v>85</v>
      </c>
    </row>
    <row r="29" spans="1:3" x14ac:dyDescent="0.25">
      <c r="A29" t="s">
        <v>44</v>
      </c>
      <c r="B29">
        <v>50</v>
      </c>
    </row>
    <row r="30" spans="1:3" x14ac:dyDescent="0.25">
      <c r="A30" t="s">
        <v>146</v>
      </c>
    </row>
  </sheetData>
  <hyperlinks>
    <hyperlink ref="D1" location="Game!E27" display="Go Back" xr:uid="{7DA37EF5-8A39-4590-B0E8-06901C05A6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9D20E-81DA-4A82-A84F-2ECD58086AAE}">
  <sheetPr codeName="Sheet5"/>
  <dimension ref="A1:J34"/>
  <sheetViews>
    <sheetView zoomScale="160" zoomScaleNormal="160" workbookViewId="0">
      <pane xSplit="1" ySplit="5" topLeftCell="B6" activePane="bottomRight" state="frozen"/>
      <selection pane="topRight" activeCell="B1" sqref="B1"/>
      <selection pane="bottomLeft" activeCell="A6" sqref="A6"/>
      <selection pane="bottomRight" activeCell="A3" sqref="A3"/>
    </sheetView>
  </sheetViews>
  <sheetFormatPr defaultColWidth="12.85546875" defaultRowHeight="15" x14ac:dyDescent="0.25"/>
  <cols>
    <col min="1" max="16384" width="12.85546875" style="5"/>
  </cols>
  <sheetData>
    <row r="1" spans="1:10" x14ac:dyDescent="0.25">
      <c r="A1" s="8" t="s">
        <v>19</v>
      </c>
      <c r="B1" s="3" t="s">
        <v>15</v>
      </c>
    </row>
    <row r="2" spans="1:10" x14ac:dyDescent="0.25">
      <c r="B2" s="3" t="s">
        <v>7</v>
      </c>
    </row>
    <row r="3" spans="1:10" ht="15" customHeight="1" x14ac:dyDescent="0.25">
      <c r="B3" s="3" t="s">
        <v>14</v>
      </c>
    </row>
    <row r="4" spans="1:10" x14ac:dyDescent="0.25">
      <c r="B4" s="88" t="s">
        <v>10</v>
      </c>
      <c r="C4" s="88" t="s">
        <v>9</v>
      </c>
      <c r="D4" s="88" t="s">
        <v>12</v>
      </c>
      <c r="F4" s="88" t="s">
        <v>200</v>
      </c>
    </row>
    <row r="5" spans="1:10" ht="15" customHeight="1" x14ac:dyDescent="0.25">
      <c r="B5" s="88"/>
      <c r="C5" s="88"/>
      <c r="D5" s="88"/>
      <c r="F5" s="88"/>
    </row>
    <row r="6" spans="1:10" x14ac:dyDescent="0.25">
      <c r="B6" s="92" t="s">
        <v>8</v>
      </c>
      <c r="C6" s="91" t="s">
        <v>11</v>
      </c>
      <c r="D6" s="90" t="s">
        <v>13</v>
      </c>
      <c r="F6" s="89" t="s">
        <v>201</v>
      </c>
    </row>
    <row r="7" spans="1:10" x14ac:dyDescent="0.25">
      <c r="B7" s="92"/>
      <c r="C7" s="91"/>
      <c r="D7" s="90"/>
      <c r="F7" s="89"/>
    </row>
    <row r="8" spans="1:10" x14ac:dyDescent="0.25">
      <c r="B8" s="92"/>
      <c r="C8" s="91"/>
      <c r="D8" s="90"/>
      <c r="F8" s="89"/>
    </row>
    <row r="9" spans="1:10" x14ac:dyDescent="0.25">
      <c r="B9" s="92"/>
      <c r="C9" s="91"/>
      <c r="D9" s="90"/>
      <c r="F9" s="89"/>
    </row>
    <row r="10" spans="1:10" x14ac:dyDescent="0.25">
      <c r="B10" s="6" t="s">
        <v>16</v>
      </c>
      <c r="C10" s="6" t="s">
        <v>17</v>
      </c>
      <c r="D10" s="6" t="s">
        <v>18</v>
      </c>
    </row>
    <row r="11" spans="1:10" x14ac:dyDescent="0.25">
      <c r="A11" s="5" t="str">
        <f>INDEX(Game!B1:B17,MATCH(SMALL(Game!C1:C17,1),Game!C1:C17,0))</f>
        <v>Alex</v>
      </c>
      <c r="F11" s="5" t="s">
        <v>203</v>
      </c>
      <c r="I11" s="5">
        <v>80</v>
      </c>
    </row>
    <row r="12" spans="1:10" x14ac:dyDescent="0.25">
      <c r="A12" s="5" t="str">
        <f>INDEX(Game!B1:B17,MATCH(SMALL(Game!C1:C17,2),Game!C1:C17,0))</f>
        <v>Cameron</v>
      </c>
      <c r="F12" s="5">
        <v>100</v>
      </c>
      <c r="I12" s="5">
        <v>20</v>
      </c>
      <c r="J12" s="5">
        <v>20</v>
      </c>
    </row>
    <row r="13" spans="1:10" x14ac:dyDescent="0.25">
      <c r="A13" s="5" t="str">
        <f>INDEX(Game!B1:B17,MATCH(SMALL(Game!C1:C17,3),Game!C1:C17,0))</f>
        <v>Christmas</v>
      </c>
      <c r="I13" s="5">
        <v>90</v>
      </c>
      <c r="J13" s="5">
        <v>90</v>
      </c>
    </row>
    <row r="14" spans="1:10" x14ac:dyDescent="0.25">
      <c r="A14" s="5" t="str">
        <f>INDEX(Game!B1:B17,MATCH(SMALL(Game!C1:C17,4),Game!C1:C17,0))</f>
        <v>Cody</v>
      </c>
      <c r="F14" s="5" t="s">
        <v>206</v>
      </c>
      <c r="I14" s="5">
        <v>50</v>
      </c>
      <c r="J14" s="5">
        <v>50</v>
      </c>
    </row>
    <row r="15" spans="1:10" x14ac:dyDescent="0.25">
      <c r="A15" s="5" t="str">
        <f>INDEX(Game!B1:B17,MATCH(SMALL(Game!C1:C17,5),Game!C1:C17,0))</f>
        <v>Dominique</v>
      </c>
      <c r="F15" s="5" t="s">
        <v>208</v>
      </c>
      <c r="I15" s="5">
        <v>35</v>
      </c>
      <c r="J15" s="5">
        <v>35</v>
      </c>
    </row>
    <row r="16" spans="1:10" x14ac:dyDescent="0.25">
      <c r="A16" s="5" t="str">
        <f>INDEX(Game!B1:B17,MATCH(SMALL(Game!C1:C17,6),Game!C1:C17,0))</f>
        <v>Elena</v>
      </c>
      <c r="F16" s="5" t="s">
        <v>209</v>
      </c>
      <c r="I16" s="5">
        <v>55</v>
      </c>
      <c r="J16" s="5">
        <v>55</v>
      </c>
    </row>
    <row r="17" spans="1:10" x14ac:dyDescent="0.25">
      <c r="A17" s="5" t="str">
        <f>INDEX(Game!B1:B17,MATCH(SMALL(Game!C1:C17,7),Game!C1:C17,0))</f>
        <v>Jason</v>
      </c>
      <c r="F17" s="5" t="s">
        <v>210</v>
      </c>
      <c r="I17" s="5">
        <v>70</v>
      </c>
      <c r="J17" s="5">
        <v>70</v>
      </c>
    </row>
    <row r="18" spans="1:10" x14ac:dyDescent="0.25">
      <c r="A18" s="5" t="str">
        <f>INDEX(Game!B1:B17,MATCH(SMALL(Game!C1:C17,8),Game!C1:C17,0))</f>
        <v>Jessica</v>
      </c>
      <c r="I18" s="5">
        <v>45</v>
      </c>
      <c r="J18" s="5">
        <v>100</v>
      </c>
    </row>
    <row r="19" spans="1:10" x14ac:dyDescent="0.25">
      <c r="A19" s="5" t="str">
        <f>INDEX(Game!B1:B17,MATCH(SMALL(Game!C1:C17,9),Game!C1:C17,0))</f>
        <v>Jillian</v>
      </c>
      <c r="I19" s="5">
        <v>30</v>
      </c>
      <c r="J19" s="5">
        <v>30</v>
      </c>
    </row>
    <row r="20" spans="1:10" x14ac:dyDescent="0.25">
      <c r="A20" s="5" t="str">
        <f>INDEX(Game!B1:B17,MATCH(SMALL(Game!C1:C17,10),Game!C1:C17,0))</f>
        <v>Josh</v>
      </c>
      <c r="H20" s="5">
        <v>100</v>
      </c>
      <c r="I20" s="5">
        <v>100</v>
      </c>
      <c r="J20" s="5">
        <v>95</v>
      </c>
    </row>
    <row r="21" spans="1:10" x14ac:dyDescent="0.25">
      <c r="A21" s="5" t="str">
        <f>INDEX(Game!B1:B17,MATCH(SMALL(Game!C1:C17,11),Game!C1:C17,0))</f>
        <v>Kevin</v>
      </c>
      <c r="I21" s="5">
        <v>85</v>
      </c>
      <c r="J21" s="5">
        <v>85</v>
      </c>
    </row>
    <row r="22" spans="1:10" x14ac:dyDescent="0.25">
      <c r="A22" s="5" t="str">
        <f>INDEX(Game!B1:B17,MATCH(SMALL(Game!C1:C17,12),Game!C1:C17,0))</f>
        <v>Mark</v>
      </c>
      <c r="I22" s="5">
        <v>60</v>
      </c>
      <c r="J22" s="5">
        <v>60</v>
      </c>
    </row>
    <row r="23" spans="1:10" x14ac:dyDescent="0.25">
      <c r="A23" s="5" t="str">
        <f>INDEX(Game!B1:B17,MATCH(SMALL(Game!C1:C17,13),Game!C1:C17,0))</f>
        <v>Matt</v>
      </c>
      <c r="I23" s="5">
        <v>65</v>
      </c>
      <c r="J23" s="5">
        <v>65</v>
      </c>
    </row>
    <row r="24" spans="1:10" x14ac:dyDescent="0.25">
      <c r="A24" s="5" t="str">
        <f>INDEX(Game!B1:B17,MATCH(SMALL(Game!C1:C17,14),Game!C1:C17,0))</f>
        <v>Megan</v>
      </c>
      <c r="I24" s="5">
        <v>25</v>
      </c>
      <c r="J24" s="5">
        <v>25</v>
      </c>
    </row>
    <row r="25" spans="1:10" x14ac:dyDescent="0.25">
      <c r="A25" s="5" t="str">
        <f>INDEX(Game!B1:B17,MATCH(SMALL(Game!C1:C17,15),Game!C1:C17,0))</f>
        <v>Paul</v>
      </c>
      <c r="I25" s="5">
        <v>95</v>
      </c>
      <c r="J25" s="5">
        <v>95</v>
      </c>
    </row>
    <row r="26" spans="1:10" x14ac:dyDescent="0.25">
      <c r="A26" s="5" t="str">
        <f>INDEX(Game!B1:B17,MATCH(SMALL(Game!C1:C17,16),Game!C1:C17,0))</f>
        <v>Ramses</v>
      </c>
      <c r="I26" s="5">
        <v>40</v>
      </c>
      <c r="J26" s="5">
        <v>40</v>
      </c>
    </row>
    <row r="27" spans="1:10" x14ac:dyDescent="0.25">
      <c r="A27" s="5" t="str">
        <f>INDEX(Game!B1:B17,MATCH(SMALL(Game!C1:C17,17),Game!C1:C17,0))</f>
        <v>Raven</v>
      </c>
      <c r="I27" s="5">
        <v>75</v>
      </c>
      <c r="J27" s="5">
        <v>75</v>
      </c>
    </row>
    <row r="32" spans="1:10" hidden="1" x14ac:dyDescent="0.25">
      <c r="A32" s="5" t="s">
        <v>202</v>
      </c>
      <c r="C32" s="5" t="s">
        <v>207</v>
      </c>
    </row>
    <row r="33" spans="1:3" hidden="1" x14ac:dyDescent="0.25">
      <c r="A33" s="5" t="s">
        <v>203</v>
      </c>
      <c r="C33" s="5" t="s">
        <v>208</v>
      </c>
    </row>
    <row r="34" spans="1:3" hidden="1" x14ac:dyDescent="0.25">
      <c r="A34" s="5" t="s">
        <v>213</v>
      </c>
    </row>
  </sheetData>
  <mergeCells count="8">
    <mergeCell ref="F4:F5"/>
    <mergeCell ref="F6:F9"/>
    <mergeCell ref="D4:D5"/>
    <mergeCell ref="D6:D9"/>
    <mergeCell ref="B4:B5"/>
    <mergeCell ref="C4:C5"/>
    <mergeCell ref="C6:C9"/>
    <mergeCell ref="B6:B9"/>
  </mergeCells>
  <dataValidations count="2">
    <dataValidation type="list" allowBlank="1" showInputMessage="1" showErrorMessage="1" sqref="F11" xr:uid="{81D6FCDC-A379-408D-9F8D-3A63C10B26F7}">
      <formula1>$A$32:$A$34</formula1>
    </dataValidation>
    <dataValidation type="list" allowBlank="1" showInputMessage="1" showErrorMessage="1" sqref="F15" xr:uid="{A4E8AF50-3CAC-482F-9412-E28F2719DD2C}">
      <formula1>$C$32:$C$33</formula1>
    </dataValidation>
  </dataValidations>
  <hyperlinks>
    <hyperlink ref="A1" location="Game!E24" display="Go Back" xr:uid="{76D2F687-22C3-4132-BE43-5CD9896343F6}"/>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862A2-C216-48ED-ACB2-E8B378FBA9B4}">
  <sheetPr codeName="Sheet6"/>
  <dimension ref="A1:W477"/>
  <sheetViews>
    <sheetView topLeftCell="A370" zoomScaleNormal="100" workbookViewId="0">
      <selection activeCell="R391" sqref="R391"/>
    </sheetView>
  </sheetViews>
  <sheetFormatPr defaultRowHeight="15" x14ac:dyDescent="0.25"/>
  <sheetData>
    <row r="1" spans="1:23" x14ac:dyDescent="0.25">
      <c r="B1" t="str">
        <f>Relationships!B2</f>
        <v>Raven</v>
      </c>
      <c r="C1" t="str">
        <f>Relationships!C2</f>
        <v>Ramses</v>
      </c>
      <c r="D1" t="str">
        <f>Relationships!D2</f>
        <v>Paul</v>
      </c>
      <c r="E1" t="str">
        <f>Relationships!E2</f>
        <v>Megan</v>
      </c>
      <c r="F1" t="str">
        <f>Relationships!F2</f>
        <v>Matt</v>
      </c>
      <c r="G1" t="str">
        <f>Relationships!G2</f>
        <v>Mark</v>
      </c>
      <c r="H1" t="str">
        <f>Relationships!H2</f>
        <v>Kevin</v>
      </c>
      <c r="I1" t="str">
        <f>Relationships!I2</f>
        <v>Josh</v>
      </c>
      <c r="J1" t="str">
        <f>Relationships!J2</f>
        <v>Jillian</v>
      </c>
      <c r="K1" t="str">
        <f>Relationships!K2</f>
        <v>Jessica</v>
      </c>
      <c r="L1" t="str">
        <f>Relationships!L2</f>
        <v>Jason</v>
      </c>
      <c r="M1" t="str">
        <f>Relationships!M2</f>
        <v>Elena</v>
      </c>
      <c r="N1" t="str">
        <f>Relationships!N2</f>
        <v>Dominique</v>
      </c>
      <c r="O1" t="str">
        <f>Relationships!O2</f>
        <v>Cody</v>
      </c>
      <c r="P1" t="str">
        <f>Relationships!P2</f>
        <v>Christmas</v>
      </c>
      <c r="Q1" t="str">
        <f>Relationships!Q2</f>
        <v>Cameron</v>
      </c>
      <c r="R1" t="str">
        <f>Relationships!R2</f>
        <v>Alex</v>
      </c>
      <c r="S1" t="str">
        <f>IF(Game!F876="debut",Game!H875,"")</f>
        <v/>
      </c>
    </row>
    <row r="2" spans="1:23" x14ac:dyDescent="0.25">
      <c r="A2" t="str">
        <f>Relationships!A3</f>
        <v>Alex</v>
      </c>
      <c r="B2">
        <f ca="1">IF(Relationships!B3="",ROUND(RAND()*A21+A22,0)+RAND()/2.2,IF(Relationships!B3&gt;=101,100,IF(Relationships!B3&lt;=-1,0,Relationships!B3))+RAND()/2.2)</f>
        <v>27.072683409527087</v>
      </c>
      <c r="C2">
        <f ca="1">IF(Relationships!C3="",ROUND(RAND()*A21+A22,0)+RAND()/2.2,IF(Relationships!C3&gt;=101,100,IF(Relationships!C3&lt;=-1,0,Relationships!C3))+RAND()/2.2)</f>
        <v>45.100969035321583</v>
      </c>
      <c r="D2">
        <f ca="1">IF(Relationships!D3="",ROUND(RAND()*A21+A22,0)+RAND()/2.2,IF(Relationships!D3&gt;=101,100,IF(Relationships!D3&lt;=-1,0,Relationships!D3))+RAND()/2.2)</f>
        <v>9.0531646568378896</v>
      </c>
      <c r="E2">
        <f ca="1">IF(Relationships!E3="",ROUND(RAND()*A21+A22,0)+RAND()/2.2,IF(Relationships!E3&gt;=101,100,IF(Relationships!E3&lt;=-1,0,Relationships!E3))+RAND()/2.2)</f>
        <v>54.092933100007563</v>
      </c>
      <c r="F2">
        <f ca="1">IF(Relationships!F3="",ROUND(RAND()*A21+A22,0)+RAND()/2.2,IF(Relationships!F3&gt;=101,100,IF(Relationships!F3&lt;=-1,0,Relationships!F3))+RAND()/2.2)</f>
        <v>1.3087948788959189</v>
      </c>
      <c r="G2">
        <f ca="1">IF(Relationships!G3="",ROUND(RAND()*A21+A22,0)+RAND()/2.2,IF(Relationships!G3&gt;=101,100,IF(Relationships!G3&lt;=-1,0,Relationships!G3))+RAND()/2.2)</f>
        <v>76.31237136960803</v>
      </c>
      <c r="H2">
        <f ca="1">IF(Relationships!H3="",ROUND(RAND()*A21+A22,0)+RAND()/2.2,IF(Relationships!H3&gt;=101,100,IF(Relationships!H3&lt;=-1,0,Relationships!H3))+RAND()/2.2)</f>
        <v>6.0862485031359119</v>
      </c>
      <c r="I2">
        <f ca="1">IF(Relationships!I3="",ROUND(RAND()*A21+A22,0)+RAND()/2.2,IF(Relationships!I3&gt;=101,100,IF(Relationships!I3&lt;=-1,0,Relationships!I3))+RAND()/2.2)</f>
        <v>43.418986695772595</v>
      </c>
      <c r="J2">
        <f ca="1">IF(Relationships!J3="",ROUND(RAND()*A21+A22,0)+RAND()/2.2,IF(Relationships!J3&gt;=101,100,IF(Relationships!J3&lt;=-1,0,Relationships!J3))+RAND()/2.2)</f>
        <v>59.289460277888111</v>
      </c>
      <c r="K2">
        <f ca="1">IF(Relationships!K3="",ROUND(RAND()*A21+A22,0)+RAND()/2.2,IF(Relationships!K3&gt;=101,100,IF(Relationships!K3&lt;=-1,0,Relationships!K3))+RAND()/2.2)</f>
        <v>38.251270749609361</v>
      </c>
      <c r="L2">
        <f ca="1">IF(Relationships!L3="",ROUND(RAND()*A21+A22,0)+RAND()/2.2,IF(Relationships!L3&gt;=101,100,IF(Relationships!L3&lt;=-1,0,Relationships!L3))+RAND()/2.2)</f>
        <v>62.423641384313534</v>
      </c>
      <c r="M2">
        <f ca="1">IF(Relationships!M3="",ROUND(RAND()*A21+A22,0)+RAND()/2.2,IF(Relationships!M3&gt;=101,100,IF(Relationships!M3&lt;=-1,0,Relationships!M3))+RAND()/2.2)</f>
        <v>71.225585308804355</v>
      </c>
      <c r="N2">
        <f ca="1">IF(Relationships!N3="",ROUND(RAND()*A21+A22,0)+RAND()/2.2,IF(Relationships!N3&gt;=101,100,IF(Relationships!N3&lt;=-1,0,Relationships!N3))+RAND()/2.2)</f>
        <v>15.194432622208032</v>
      </c>
      <c r="O2">
        <f ca="1">IF(Relationships!O3="",ROUND(RAND()*A21+A22,0)+RAND()/2.2,IF(Relationships!O3&gt;=101,100,IF(Relationships!O3&lt;=-1,0,Relationships!O3))+RAND()/2.2)</f>
        <v>23.434421387666173</v>
      </c>
      <c r="P2">
        <f ca="1">IF(Relationships!P3="",ROUND(RAND()*A21+A22,0)+RAND()/2.2,IF(Relationships!P3&gt;=101,100,IF(Relationships!P3&lt;=-1,0,Relationships!P3))+RAND()/2.2)</f>
        <v>39.09271954602108</v>
      </c>
      <c r="Q2">
        <f ca="1">IF(Relationships!Q3="",ROUND(RAND()*A21+A22,0)+RAND()/2.2,IF(Relationships!Q3&gt;=101,100,IF(Relationships!Q3&lt;=-1,0,Relationships!Q3))+RAND()/2.2)</f>
        <v>74.337936926232928</v>
      </c>
      <c r="R2">
        <v>101</v>
      </c>
      <c r="S2" t="str">
        <f ca="1">R19</f>
        <v/>
      </c>
      <c r="T2" t="str">
        <f t="shared" ref="T2:T18" si="0">A2</f>
        <v>Alex</v>
      </c>
      <c r="U2">
        <f ca="1">IF(Popularity!B11="",ROUND(RAND()*100,0),IF(Popularity!B11&lt;=0,0,IF(Popularity!B11&gt;=100,100,Popularity!B11)))+RAND()/2.2</f>
        <v>91.367612309640492</v>
      </c>
      <c r="V2">
        <f ca="1">IF(Popularity!C11="",ROUND(RAND()*100,0),IF(Popularity!C11&lt;=0,0,IF(Popularity!C11&gt;=100,100,Popularity!C11)))+RAND()/2.2</f>
        <v>9.2615855959926066</v>
      </c>
      <c r="W2">
        <f ca="1">IF(Popularity!D11="",ROUND(RAND()*100,0),IF(Popularity!D11&lt;=0,0,IF(Popularity!D11&gt;=100,100,Popularity!D11)))+RAND()/2.2</f>
        <v>4.3639077691054071</v>
      </c>
    </row>
    <row r="3" spans="1:23" x14ac:dyDescent="0.25">
      <c r="A3" t="str">
        <f>Relationships!A4</f>
        <v>Cameron</v>
      </c>
      <c r="B3">
        <f ca="1">IF(Relationships!B4="",ROUND(RAND()*A21+A22,0)+RAND()/2.2,IF(Relationships!B4&gt;=101,100,IF(Relationships!B4&lt;=-1,0,Relationships!B4))+RAND()/2.2)</f>
        <v>47.409368445659858</v>
      </c>
      <c r="C3">
        <f ca="1">IF(Relationships!C4="",ROUND(RAND()*A21+A22,0)+RAND()/2.2,IF(Relationships!C4&gt;=101,100,IF(Relationships!C4&lt;=-1,0,Relationships!C4))+RAND()/2.2)</f>
        <v>7.0998209115564732</v>
      </c>
      <c r="D3">
        <f ca="1">IF(Relationships!D4="",ROUND(RAND()*A21+A22,0)+RAND()/2.2,IF(Relationships!D4&gt;=101,100,IF(Relationships!D4&lt;=-1,0,Relationships!D4))+RAND()/2.2)</f>
        <v>10.126848194985453</v>
      </c>
      <c r="E3">
        <f ca="1">IF(Relationships!E4="",ROUND(RAND()*A21+A22,0)+RAND()/2.2,IF(Relationships!E4&gt;=101,100,IF(Relationships!E4&lt;=-1,0,Relationships!E4))+RAND()/2.2)</f>
        <v>61.288270954429585</v>
      </c>
      <c r="F3">
        <f ca="1">IF(Relationships!F4="",ROUND(RAND()*A21+A22,0)+RAND()/2.2,IF(Relationships!F4&gt;=101,100,IF(Relationships!F4&lt;=-1,0,Relationships!F4))+RAND()/2.2)</f>
        <v>68.279130379841646</v>
      </c>
      <c r="G3">
        <f ca="1">IF(Relationships!G4="",ROUND(RAND()*A21+A22,0)+RAND()/2.2,IF(Relationships!G4&gt;=101,100,IF(Relationships!G4&lt;=-1,0,Relationships!G4))+RAND()/2.2)</f>
        <v>17.366447548995119</v>
      </c>
      <c r="H3">
        <f ca="1">IF(Relationships!H4="",ROUND(RAND()*A21+A22,0)+RAND()/2.2,IF(Relationships!H4&gt;=101,100,IF(Relationships!H4&lt;=-1,0,Relationships!H4))+RAND()/2.2)</f>
        <v>76.357698417700803</v>
      </c>
      <c r="I3">
        <f ca="1">IF(Relationships!I4="",ROUND(RAND()*A21+A22,0)+RAND()/2.2,IF(Relationships!I4&gt;=101,100,IF(Relationships!I4&lt;=-1,0,Relationships!I4))+RAND()/2.2)</f>
        <v>41.253573787864298</v>
      </c>
      <c r="J3">
        <f ca="1">IF(Relationships!J4="",ROUND(RAND()*A21+A22,0)+RAND()/2.2,IF(Relationships!J4&gt;=101,100,IF(Relationships!J4&lt;=-1,0,Relationships!J4))+RAND()/2.2)</f>
        <v>65.383887637253792</v>
      </c>
      <c r="K3">
        <f ca="1">IF(Relationships!K4="",ROUND(RAND()*A21+A22,0)+RAND()/2.2,IF(Relationships!K4&gt;=101,100,IF(Relationships!K4&lt;=-1,0,Relationships!K4))+RAND()/2.2)</f>
        <v>44.433469371378045</v>
      </c>
      <c r="L3">
        <f ca="1">IF(Relationships!L4="",ROUND(RAND()*A21+A22,0)+RAND()/2.2,IF(Relationships!L4&gt;=101,100,IF(Relationships!L4&lt;=-1,0,Relationships!L4))+RAND()/2.2)</f>
        <v>15.394165717913744</v>
      </c>
      <c r="M3">
        <f ca="1">IF(Relationships!M4="",ROUND(RAND()*A21+A22,0)+RAND()/2.2,IF(Relationships!M4&gt;=101,100,IF(Relationships!M4&lt;=-1,0,Relationships!M4))+RAND()/2.2)</f>
        <v>12.409183957135806</v>
      </c>
      <c r="N3">
        <f ca="1">IF(Relationships!N4="",ROUND(RAND()*A21+A22,0)+RAND()/2.2,IF(Relationships!N4&gt;=101,100,IF(Relationships!N4&lt;=-1,0,Relationships!N4))+RAND()/2.2)</f>
        <v>70.160437781869334</v>
      </c>
      <c r="O3">
        <f ca="1">IF(Relationships!O4="",ROUND(RAND()*A21+A22,0)+RAND()/2.2,IF(Relationships!O4&gt;=101,100,IF(Relationships!O4&lt;=-1,0,Relationships!O4))+RAND()/2.2)</f>
        <v>69.289969172023191</v>
      </c>
      <c r="P3">
        <f ca="1">IF(Relationships!P4="",ROUND(RAND()*A21+A22,0)+RAND()/2.2,IF(Relationships!P4&gt;=101,100,IF(Relationships!P4&lt;=-1,0,Relationships!P4))+RAND()/2.2)</f>
        <v>19.010344079183941</v>
      </c>
      <c r="Q3">
        <v>101</v>
      </c>
      <c r="R3">
        <f ca="1">Q2</f>
        <v>74.337936926232928</v>
      </c>
      <c r="S3" t="str">
        <f ca="1">Q19</f>
        <v/>
      </c>
      <c r="T3" t="str">
        <f t="shared" si="0"/>
        <v>Cameron</v>
      </c>
      <c r="U3">
        <f ca="1">IF(Popularity!B12="",ROUND(RAND()*100,0),IF(Popularity!B12&lt;=0,0,IF(Popularity!B12&gt;=100,100,Popularity!B12)))+RAND()/2.2</f>
        <v>73.193143089015095</v>
      </c>
      <c r="V3">
        <f ca="1">IF(Popularity!C12="",ROUND(RAND()*100,0),IF(Popularity!C12&lt;=0,0,IF(Popularity!C12&gt;=100,100,Popularity!C12)))+RAND()/2.2</f>
        <v>8.3683230866850327</v>
      </c>
      <c r="W3">
        <f ca="1">IF(Popularity!D12="",ROUND(RAND()*100,0),IF(Popularity!D12&lt;=0,0,IF(Popularity!D12&gt;=100,100,Popularity!D12)))+RAND()/2.2</f>
        <v>45.230006266604192</v>
      </c>
    </row>
    <row r="4" spans="1:23" x14ac:dyDescent="0.25">
      <c r="A4" t="str">
        <f>Relationships!A5</f>
        <v>Christmas</v>
      </c>
      <c r="B4">
        <f ca="1">IF(Relationships!B5="",ROUND(RAND()*A21+A22,0)+RAND()/2.2,IF(Relationships!B5&gt;=101,100,IF(Relationships!B5&lt;=-1,0,Relationships!B5))+RAND()/2.2)</f>
        <v>49.206725336114673</v>
      </c>
      <c r="C4">
        <f ca="1">IF(Relationships!C5="",ROUND(RAND()*A21+A22,0)+RAND()/2.2,IF(Relationships!C5&gt;=101,100,IF(Relationships!C5&lt;=-1,0,Relationships!C5))+RAND()/2.2)</f>
        <v>83.393267987413225</v>
      </c>
      <c r="D4">
        <f ca="1">IF(Relationships!D5="",ROUND(RAND()*A21+A22,0)+RAND()/2.2,IF(Relationships!D5&gt;=101,100,IF(Relationships!D5&lt;=-1,0,Relationships!D5))+RAND()/2.2)</f>
        <v>53.29140447056318</v>
      </c>
      <c r="E4">
        <f ca="1">IF(Relationships!E5="",ROUND(RAND()*A21+A22,0)+RAND()/2.2,IF(Relationships!E5&gt;=101,100,IF(Relationships!E5&lt;=-1,0,Relationships!E5))+RAND()/2.2)</f>
        <v>7.1318867821929848</v>
      </c>
      <c r="F4">
        <f ca="1">IF(Relationships!F5="",ROUND(RAND()*A21+A22,0)+RAND()/2.2,IF(Relationships!F5&gt;=101,100,IF(Relationships!F5&lt;=-1,0,Relationships!F5))+RAND()/2.2)</f>
        <v>85.372246819883017</v>
      </c>
      <c r="G4">
        <f ca="1">IF(Relationships!G5="",ROUND(RAND()*A21+A22,0)+RAND()/2.2,IF(Relationships!G5&gt;=101,100,IF(Relationships!G5&lt;=-1,0,Relationships!G5))+RAND()/2.2)</f>
        <v>72.406235089083978</v>
      </c>
      <c r="H4">
        <f ca="1">IF(Relationships!H5="",ROUND(RAND()*A21+A22,0)+RAND()/2.2,IF(Relationships!H5&gt;=101,100,IF(Relationships!H5&lt;=-1,0,Relationships!H5))+RAND()/2.2)</f>
        <v>68.355215621318209</v>
      </c>
      <c r="I4">
        <f ca="1">IF(Relationships!I5="",ROUND(RAND()*A21+A22,0)+RAND()/2.2,IF(Relationships!I5&gt;=101,100,IF(Relationships!I5&lt;=-1,0,Relationships!I5))+RAND()/2.2)</f>
        <v>15.17715993671249</v>
      </c>
      <c r="J4">
        <f ca="1">IF(Relationships!J5="",ROUND(RAND()*A21+A22,0)+RAND()/2.2,IF(Relationships!J5&gt;=101,100,IF(Relationships!J5&lt;=-1,0,Relationships!J5))+RAND()/2.2)</f>
        <v>45.133515745606985</v>
      </c>
      <c r="K4">
        <f ca="1">IF(Relationships!K5="",ROUND(RAND()*A21+A22,0)+RAND()/2.2,IF(Relationships!K5&gt;=101,100,IF(Relationships!K5&lt;=-1,0,Relationships!K5))+RAND()/2.2)</f>
        <v>68.240859442058181</v>
      </c>
      <c r="L4">
        <f ca="1">IF(Relationships!L5="",ROUND(RAND()*A21+A22,0)+RAND()/2.2,IF(Relationships!L5&gt;=101,100,IF(Relationships!L5&lt;=-1,0,Relationships!L5))+RAND()/2.2)</f>
        <v>22.004949710265894</v>
      </c>
      <c r="M4">
        <f ca="1">IF(Relationships!M5="",ROUND(RAND()*A21+A22,0)+RAND()/2.2,IF(Relationships!M5&gt;=101,100,IF(Relationships!M5&lt;=-1,0,Relationships!M5))+RAND()/2.2)</f>
        <v>63.422646957515994</v>
      </c>
      <c r="N4">
        <f ca="1">IF(Relationships!N5="",ROUND(RAND()*A21+A22,0)+RAND()/2.2,IF(Relationships!N5&gt;=101,100,IF(Relationships!N5&lt;=-1,0,Relationships!N5))+RAND()/2.2)</f>
        <v>82.25516332903311</v>
      </c>
      <c r="O4">
        <f ca="1">IF(Relationships!O5="",ROUND(RAND()*A21+A22,0)+RAND()/2.2,IF(Relationships!O5&gt;=101,100,IF(Relationships!O5&lt;=-1,0,Relationships!O5))+RAND()/2.2)</f>
        <v>2.2850546326158266E-2</v>
      </c>
      <c r="P4">
        <v>101</v>
      </c>
      <c r="Q4">
        <f ca="1">P3</f>
        <v>19.010344079183941</v>
      </c>
      <c r="R4">
        <f ca="1">P2</f>
        <v>39.09271954602108</v>
      </c>
      <c r="S4" t="str">
        <f ca="1">P19</f>
        <v/>
      </c>
      <c r="T4" t="str">
        <f t="shared" si="0"/>
        <v>Christmas</v>
      </c>
      <c r="U4">
        <f ca="1">IF(Popularity!B13="",ROUND(RAND()*100,0),IF(Popularity!B13&lt;=0,0,IF(Popularity!B13&gt;=100,100,Popularity!B13)))+RAND()/2.2</f>
        <v>5.4497184207530722</v>
      </c>
      <c r="V4">
        <f ca="1">IF(Popularity!C13="",ROUND(RAND()*100,0),IF(Popularity!C13&lt;=0,0,IF(Popularity!C13&gt;=100,100,Popularity!C13)))+RAND()/2.2</f>
        <v>14.429473734491626</v>
      </c>
      <c r="W4">
        <f ca="1">IF(Popularity!D13="",ROUND(RAND()*100,0),IF(Popularity!D13&lt;=0,0,IF(Popularity!D13&gt;=100,100,Popularity!D13)))+RAND()/2.2</f>
        <v>29.241633450842453</v>
      </c>
    </row>
    <row r="5" spans="1:23" x14ac:dyDescent="0.25">
      <c r="A5" t="str">
        <f>Relationships!A6</f>
        <v>Cody</v>
      </c>
      <c r="B5">
        <f ca="1">IF(Relationships!B6="",ROUND(RAND()*A21+A22,0)+RAND()/2.2,IF(Relationships!B6&gt;=101,100,IF(Relationships!B6&lt;=-1,0,Relationships!B6))+RAND()/2.2)</f>
        <v>73.03778757742748</v>
      </c>
      <c r="C5">
        <f ca="1">IF(Relationships!C6="",ROUND(RAND()*A21+A22,0)+RAND()/2.2,IF(Relationships!C6&gt;=101,100,IF(Relationships!C6&lt;=-1,0,Relationships!C6))+RAND()/2.2)</f>
        <v>12.024799850985175</v>
      </c>
      <c r="D5">
        <f ca="1">IF(Relationships!D6="",ROUND(RAND()*A21+A22,0)+RAND()/2.2,IF(Relationships!D6&gt;=101,100,IF(Relationships!D6&lt;=-1,0,Relationships!D6))+RAND()/2.2)</f>
        <v>29.125927884074365</v>
      </c>
      <c r="E5">
        <f ca="1">IF(Relationships!E6="",ROUND(RAND()*A21+A22,0)+RAND()/2.2,IF(Relationships!E6&gt;=101,100,IF(Relationships!E6&lt;=-1,0,Relationships!E6))+RAND()/2.2)</f>
        <v>18.048940847008435</v>
      </c>
      <c r="F5">
        <f ca="1">IF(Relationships!F6="",ROUND(RAND()*A21+A22,0)+RAND()/2.2,IF(Relationships!F6&gt;=101,100,IF(Relationships!F6&lt;=-1,0,Relationships!F6))+RAND()/2.2)</f>
        <v>77.161630741743451</v>
      </c>
      <c r="G5">
        <f ca="1">IF(Relationships!G6="",ROUND(RAND()*A21+A22,0)+RAND()/2.2,IF(Relationships!G6&gt;=101,100,IF(Relationships!G6&lt;=-1,0,Relationships!G6))+RAND()/2.2)</f>
        <v>24.230698123089187</v>
      </c>
      <c r="H5">
        <f ca="1">IF(Relationships!H6="",ROUND(RAND()*A21+A22,0)+RAND()/2.2,IF(Relationships!H6&gt;=101,100,IF(Relationships!H6&lt;=-1,0,Relationships!H6))+RAND()/2.2)</f>
        <v>51.410289552089814</v>
      </c>
      <c r="I5">
        <f ca="1">IF(Relationships!I6="",ROUND(RAND()*A21+A22,0)+RAND()/2.2,IF(Relationships!I6&gt;=101,100,IF(Relationships!I6&lt;=-1,0,Relationships!I6))+RAND()/2.2)</f>
        <v>68.054883665149632</v>
      </c>
      <c r="J5">
        <f ca="1">IF(Relationships!J6="",ROUND(RAND()*A21+A22,0)+RAND()/2.2,IF(Relationships!J6&gt;=101,100,IF(Relationships!J6&lt;=-1,0,Relationships!J6))+RAND()/2.2)</f>
        <v>52.275980603054812</v>
      </c>
      <c r="K5">
        <f ca="1">IF(Relationships!K6="",ROUND(RAND()*A21+A22,0)+RAND()/2.2,IF(Relationships!K6&gt;=101,100,IF(Relationships!K6&lt;=-1,0,Relationships!K6))+RAND()/2.2)</f>
        <v>46.28551811425136</v>
      </c>
      <c r="L5">
        <f ca="1">IF(Relationships!L6="",ROUND(RAND()*A21+A22,0)+RAND()/2.2,IF(Relationships!L6&gt;=101,100,IF(Relationships!L6&lt;=-1,0,Relationships!L6))+RAND()/2.2)</f>
        <v>41.238479804029616</v>
      </c>
      <c r="M5">
        <f ca="1">IF(Relationships!M6="",ROUND(RAND()*A21+A22,0)+RAND()/2.2,IF(Relationships!M6&gt;=101,100,IF(Relationships!M6&lt;=-1,0,Relationships!M6))+RAND()/2.2)</f>
        <v>82.363856292644456</v>
      </c>
      <c r="N5">
        <f ca="1">IF(Relationships!N6="",ROUND(RAND()*A21+A22,0)+RAND()/2.2,IF(Relationships!N6&gt;=101,100,IF(Relationships!N6&lt;=-1,0,Relationships!N6))+RAND()/2.2)</f>
        <v>44.239600096515559</v>
      </c>
      <c r="O5">
        <v>101</v>
      </c>
      <c r="P5">
        <f ca="1">O4</f>
        <v>2.2850546326158266E-2</v>
      </c>
      <c r="Q5">
        <f ca="1">O3</f>
        <v>69.289969172023191</v>
      </c>
      <c r="R5">
        <f ca="1">O2</f>
        <v>23.434421387666173</v>
      </c>
      <c r="S5" t="str">
        <f ca="1">O19</f>
        <v/>
      </c>
      <c r="T5" t="str">
        <f t="shared" si="0"/>
        <v>Cody</v>
      </c>
      <c r="U5">
        <f ca="1">IF(Popularity!B14="",ROUND(RAND()*100,0),IF(Popularity!B14&lt;=0,0,IF(Popularity!B14&gt;=100,100,Popularity!B14)))+RAND()/2.2</f>
        <v>76.37442508697589</v>
      </c>
      <c r="V5">
        <f ca="1">IF(Popularity!C14="",ROUND(RAND()*100,0),IF(Popularity!C14&lt;=0,0,IF(Popularity!C14&gt;=100,100,Popularity!C14)))+RAND()/2.2</f>
        <v>82.006423014722174</v>
      </c>
      <c r="W5">
        <f ca="1">IF(Popularity!D14="",ROUND(RAND()*100,0),IF(Popularity!D14&lt;=0,0,IF(Popularity!D14&gt;=100,100,Popularity!D14)))+RAND()/2.2</f>
        <v>3.0948384658292247</v>
      </c>
    </row>
    <row r="6" spans="1:23" x14ac:dyDescent="0.25">
      <c r="A6" t="str">
        <f>Relationships!A7</f>
        <v>Dominique</v>
      </c>
      <c r="B6">
        <f ca="1">IF(Relationships!B7="",ROUND(RAND()*A21+A22,0)+RAND()/2.2,IF(Relationships!B7&gt;=101,100,IF(Relationships!B7&lt;=-1,0,Relationships!B7))+RAND()/2.2)</f>
        <v>82.001622786281857</v>
      </c>
      <c r="C6">
        <f ca="1">IF(Relationships!C7="",ROUND(RAND()*A21+A22,0)+RAND()/2.2,IF(Relationships!C7&gt;=101,100,IF(Relationships!C7&lt;=-1,0,Relationships!C7))+RAND()/2.2)</f>
        <v>29.432924068492881</v>
      </c>
      <c r="D6">
        <f ca="1">IF(Relationships!D7="",ROUND(RAND()*A21+A22,0)+RAND()/2.2,IF(Relationships!D7&gt;=101,100,IF(Relationships!D7&lt;=-1,0,Relationships!D7))+RAND()/2.2)</f>
        <v>18.022345252469293</v>
      </c>
      <c r="E6">
        <f ca="1">IF(Relationships!E7="",ROUND(RAND()*A21+A22,0)+RAND()/2.2,IF(Relationships!E7&gt;=101,100,IF(Relationships!E7&lt;=-1,0,Relationships!E7))+RAND()/2.2)</f>
        <v>10.295800985744208</v>
      </c>
      <c r="F6">
        <f ca="1">IF(Relationships!F7="",ROUND(RAND()*A21+A22,0)+RAND()/2.2,IF(Relationships!F7&gt;=101,100,IF(Relationships!F7&lt;=-1,0,Relationships!F7))+RAND()/2.2)</f>
        <v>82.401953074585833</v>
      </c>
      <c r="G6">
        <f ca="1">IF(Relationships!G7="",ROUND(RAND()*A21+A22,0)+RAND()/2.2,IF(Relationships!G7&gt;=101,100,IF(Relationships!G7&lt;=-1,0,Relationships!G7))+RAND()/2.2)</f>
        <v>73.102607973869453</v>
      </c>
      <c r="H6">
        <f ca="1">IF(Relationships!H7="",ROUND(RAND()*A21+A22,0)+RAND()/2.2,IF(Relationships!H7&gt;=101,100,IF(Relationships!H7&lt;=-1,0,Relationships!H7))+RAND()/2.2)</f>
        <v>74.428962462310309</v>
      </c>
      <c r="I6">
        <f ca="1">IF(Relationships!I7="",ROUND(RAND()*A21+A22,0)+RAND()/2.2,IF(Relationships!I7&gt;=101,100,IF(Relationships!I7&lt;=-1,0,Relationships!I7))+RAND()/2.2)</f>
        <v>0.1796995943016369</v>
      </c>
      <c r="J6">
        <f ca="1">IF(Relationships!J7="",ROUND(RAND()*A21+A22,0)+RAND()/2.2,IF(Relationships!J7&gt;=101,100,IF(Relationships!J7&lt;=-1,0,Relationships!J7))+RAND()/2.2)</f>
        <v>30.350159122876136</v>
      </c>
      <c r="K6">
        <f ca="1">IF(Relationships!K7="",ROUND(RAND()*A21+A22,0)+RAND()/2.2,IF(Relationships!K7&gt;=101,100,IF(Relationships!K7&lt;=-1,0,Relationships!K7))+RAND()/2.2)</f>
        <v>27.303439841764643</v>
      </c>
      <c r="L6">
        <f ca="1">IF(Relationships!L7="",ROUND(RAND()*A21+A22,0)+RAND()/2.2,IF(Relationships!L7&gt;=101,100,IF(Relationships!L7&lt;=-1,0,Relationships!L7))+RAND()/2.2)</f>
        <v>7.2239677536454394</v>
      </c>
      <c r="M6">
        <f ca="1">IF(Relationships!M7="",ROUND(RAND()*A21+A22,0)+RAND()/2.2,IF(Relationships!M7&gt;=101,100,IF(Relationships!M7&lt;=-1,0,Relationships!M7))+RAND()/2.2)</f>
        <v>16.034889263862759</v>
      </c>
      <c r="N6">
        <v>101</v>
      </c>
      <c r="O6">
        <f ca="1">N5</f>
        <v>44.239600096515559</v>
      </c>
      <c r="P6">
        <f ca="1">N4</f>
        <v>82.25516332903311</v>
      </c>
      <c r="Q6">
        <f ca="1">N3</f>
        <v>70.160437781869334</v>
      </c>
      <c r="R6">
        <f ca="1">N2</f>
        <v>15.194432622208032</v>
      </c>
      <c r="S6" t="str">
        <f ca="1">N19</f>
        <v/>
      </c>
      <c r="T6" t="str">
        <f t="shared" si="0"/>
        <v>Dominique</v>
      </c>
      <c r="U6">
        <f ca="1">IF(Popularity!B15="",ROUND(RAND()*100,0),IF(Popularity!B15&lt;=0,0,IF(Popularity!B15&gt;=100,100,Popularity!B15)))+RAND()/2.2</f>
        <v>21.241258985100572</v>
      </c>
      <c r="V6">
        <f ca="1">IF(Popularity!C15="",ROUND(RAND()*100,0),IF(Popularity!C15&lt;=0,0,IF(Popularity!C15&gt;=100,100,Popularity!C15)))+RAND()/2.2</f>
        <v>63.453322709719963</v>
      </c>
      <c r="W6">
        <f ca="1">IF(Popularity!D15="",ROUND(RAND()*100,0),IF(Popularity!D15&lt;=0,0,IF(Popularity!D15&gt;=100,100,Popularity!D15)))+RAND()/2.2</f>
        <v>82.323239639184351</v>
      </c>
    </row>
    <row r="7" spans="1:23" x14ac:dyDescent="0.25">
      <c r="A7" t="str">
        <f>Relationships!A8</f>
        <v>Elena</v>
      </c>
      <c r="B7">
        <f ca="1">IF(Relationships!B8="",ROUND(RAND()*A21+A22,0)+RAND()/2.2,IF(Relationships!B8&gt;=101,100,IF(Relationships!B8&lt;=-1,0,Relationships!B8))+RAND()/2.2)</f>
        <v>56.2767320805171</v>
      </c>
      <c r="C7">
        <f ca="1">IF(Relationships!C8="",ROUND(RAND()*A21+A22,0)+RAND()/2.2,IF(Relationships!C8&gt;=101,100,IF(Relationships!C8&lt;=-1,0,Relationships!C8))+RAND()/2.2)</f>
        <v>12.228426676996929</v>
      </c>
      <c r="D7">
        <f ca="1">IF(Relationships!D8="",ROUND(RAND()*A21+A22,0)+RAND()/2.2,IF(Relationships!D8&gt;=101,100,IF(Relationships!D8&lt;=-1,0,Relationships!D8))+RAND()/2.2)</f>
        <v>41.015339216176564</v>
      </c>
      <c r="E7">
        <f ca="1">IF(Relationships!E8="",ROUND(RAND()*A21+A22,0)+RAND()/2.2,IF(Relationships!E8&gt;=101,100,IF(Relationships!E8&lt;=-1,0,Relationships!E8))+RAND()/2.2)</f>
        <v>22.384831157245035</v>
      </c>
      <c r="F7">
        <f ca="1">IF(Relationships!F8="",ROUND(RAND()*A21+A22,0)+RAND()/2.2,IF(Relationships!F8&gt;=101,100,IF(Relationships!F8&lt;=-1,0,Relationships!F8))+RAND()/2.2)</f>
        <v>5.1215439768423332</v>
      </c>
      <c r="G7">
        <f ca="1">IF(Relationships!G8="",ROUND(RAND()*A21+A22,0)+RAND()/2.2,IF(Relationships!G8&gt;=101,100,IF(Relationships!G8&lt;=-1,0,Relationships!G8))+RAND()/2.2)</f>
        <v>42.203489365903273</v>
      </c>
      <c r="H7">
        <f ca="1">IF(Relationships!H8="",ROUND(RAND()*A21+A22,0)+RAND()/2.2,IF(Relationships!H8&gt;=101,100,IF(Relationships!H8&lt;=-1,0,Relationships!H8))+RAND()/2.2)</f>
        <v>44.172127759170287</v>
      </c>
      <c r="I7">
        <f ca="1">IF(Relationships!I8="",ROUND(RAND()*A21+A22,0)+RAND()/2.2,IF(Relationships!I8&gt;=101,100,IF(Relationships!I8&lt;=-1,0,Relationships!I8))+RAND()/2.2)</f>
        <v>1.1992803304611785</v>
      </c>
      <c r="J7">
        <f ca="1">IF(Relationships!J8="",ROUND(RAND()*A21+A22,0)+RAND()/2.2,IF(Relationships!J8&gt;=101,100,IF(Relationships!J8&lt;=-1,0,Relationships!J8))+RAND()/2.2)</f>
        <v>61.021456882754954</v>
      </c>
      <c r="K7">
        <f ca="1">IF(Relationships!K8="",ROUND(RAND()*A21+A22,0)+RAND()/2.2,IF(Relationships!K8&gt;=101,100,IF(Relationships!K8&lt;=-1,0,Relationships!K8))+RAND()/2.2)</f>
        <v>70.399092792834807</v>
      </c>
      <c r="L7">
        <f ca="1">IF(Relationships!L8="",ROUND(RAND()*A21+A22,0)+RAND()/2.2,IF(Relationships!L8&gt;=101,100,IF(Relationships!L8&lt;=-1,0,Relationships!L8))+RAND()/2.2)</f>
        <v>30.397908622093482</v>
      </c>
      <c r="M7">
        <v>101</v>
      </c>
      <c r="N7">
        <f ca="1">M6</f>
        <v>16.034889263862759</v>
      </c>
      <c r="O7">
        <f ca="1">M5</f>
        <v>82.363856292644456</v>
      </c>
      <c r="P7">
        <f ca="1">M4</f>
        <v>63.422646957515994</v>
      </c>
      <c r="Q7">
        <f ca="1">M3</f>
        <v>12.409183957135806</v>
      </c>
      <c r="R7">
        <f ca="1">M2</f>
        <v>71.225585308804355</v>
      </c>
      <c r="S7" t="str">
        <f ca="1">M19</f>
        <v/>
      </c>
      <c r="T7" t="str">
        <f t="shared" si="0"/>
        <v>Elena</v>
      </c>
      <c r="U7">
        <f ca="1">IF(Popularity!B16="",ROUND(RAND()*100,0),IF(Popularity!B16&lt;=0,0,IF(Popularity!B16&gt;=100,100,Popularity!B16)))+RAND()/2.2</f>
        <v>57.040881050282181</v>
      </c>
      <c r="V7">
        <f ca="1">IF(Popularity!C16="",ROUND(RAND()*100,0),IF(Popularity!C16&lt;=0,0,IF(Popularity!C16&gt;=100,100,Popularity!C16)))+RAND()/2.2</f>
        <v>49.196102551881488</v>
      </c>
      <c r="W7">
        <f ca="1">IF(Popularity!D16="",ROUND(RAND()*100,0),IF(Popularity!D16&lt;=0,0,IF(Popularity!D16&gt;=100,100,Popularity!D16)))+RAND()/2.2</f>
        <v>73.151061348820406</v>
      </c>
    </row>
    <row r="8" spans="1:23" x14ac:dyDescent="0.25">
      <c r="A8" t="str">
        <f>Relationships!A9</f>
        <v>Jason</v>
      </c>
      <c r="B8">
        <f ca="1">IF(Relationships!B9="",ROUND(RAND()*A21+A22,0)+RAND()/2.2,IF(Relationships!B9&gt;=101,100,IF(Relationships!B9&lt;=-1,0,Relationships!B9))+RAND()/2.2)</f>
        <v>26.449699295094824</v>
      </c>
      <c r="C8">
        <f ca="1">IF(Relationships!C9="",ROUND(RAND()*A21+A22,0)+RAND()/2.2,IF(Relationships!C9&gt;=101,100,IF(Relationships!C9&lt;=-1,0,Relationships!C9))+RAND()/2.2)</f>
        <v>3.2767850456034151</v>
      </c>
      <c r="D8">
        <f ca="1">IF(Relationships!D9="",ROUND(RAND()*A21+A22,0)+RAND()/2.2,IF(Relationships!D9&gt;=101,100,IF(Relationships!D9&lt;=-1,0,Relationships!D9))+RAND()/2.2)</f>
        <v>42.41311274915639</v>
      </c>
      <c r="E8">
        <f ca="1">IF(Relationships!E9="",ROUND(RAND()*A21+A22,0)+RAND()/2.2,IF(Relationships!E9&gt;=101,100,IF(Relationships!E9&lt;=-1,0,Relationships!E9))+RAND()/2.2)</f>
        <v>79.425080473582895</v>
      </c>
      <c r="F8">
        <f ca="1">IF(Relationships!F9="",ROUND(RAND()*A21+A22,0)+RAND()/2.2,IF(Relationships!F9&gt;=101,100,IF(Relationships!F9&lt;=-1,0,Relationships!F9))+RAND()/2.2)</f>
        <v>84.449421673651997</v>
      </c>
      <c r="G8">
        <f ca="1">IF(Relationships!G9="",ROUND(RAND()*A21+A22,0)+RAND()/2.2,IF(Relationships!G9&gt;=101,100,IF(Relationships!G9&lt;=-1,0,Relationships!G9))+RAND()/2.2)</f>
        <v>45.249910546888039</v>
      </c>
      <c r="H8">
        <f ca="1">IF(Relationships!H9="",ROUND(RAND()*A21+A22,0)+RAND()/2.2,IF(Relationships!H9&gt;=101,100,IF(Relationships!H9&lt;=-1,0,Relationships!H9))+RAND()/2.2)</f>
        <v>43.411569347904418</v>
      </c>
      <c r="I8">
        <f ca="1">IF(Relationships!I9="",ROUND(RAND()*A21+A22,0)+RAND()/2.2,IF(Relationships!I9&gt;=101,100,IF(Relationships!I9&lt;=-1,0,Relationships!I9))+RAND()/2.2)</f>
        <v>36.113202703490856</v>
      </c>
      <c r="J8">
        <f ca="1">IF(Relationships!J9="",ROUND(RAND()*A21+A22,0)+RAND()/2.2,IF(Relationships!J9&gt;=101,100,IF(Relationships!J9&lt;=-1,0,Relationships!J9))+RAND()/2.2)</f>
        <v>70.268170824342889</v>
      </c>
      <c r="K8">
        <f ca="1">IF(Relationships!K9="",ROUND(RAND()*A21+A22,0)+RAND()/2.2,IF(Relationships!K9&gt;=101,100,IF(Relationships!K9&lt;=-1,0,Relationships!K9))+RAND()/2.2)</f>
        <v>51.265613737767033</v>
      </c>
      <c r="L8">
        <v>101</v>
      </c>
      <c r="M8">
        <f ca="1">L7</f>
        <v>30.397908622093482</v>
      </c>
      <c r="N8">
        <f ca="1">L6</f>
        <v>7.2239677536454394</v>
      </c>
      <c r="O8">
        <f ca="1">L5</f>
        <v>41.238479804029616</v>
      </c>
      <c r="P8">
        <f ca="1">L4</f>
        <v>22.004949710265894</v>
      </c>
      <c r="Q8">
        <f ca="1">L3</f>
        <v>15.394165717913744</v>
      </c>
      <c r="R8">
        <f ca="1">L2</f>
        <v>62.423641384313534</v>
      </c>
      <c r="S8" t="str">
        <f ca="1">L19</f>
        <v/>
      </c>
      <c r="T8" t="str">
        <f t="shared" si="0"/>
        <v>Jason</v>
      </c>
      <c r="U8">
        <f ca="1">IF(Popularity!B17="",ROUND(RAND()*100,0),IF(Popularity!B17&lt;=0,0,IF(Popularity!B17&gt;=100,100,Popularity!B17)))+RAND()/2.2</f>
        <v>95.132063673720836</v>
      </c>
      <c r="V8">
        <f ca="1">IF(Popularity!C17="",ROUND(RAND()*100,0),IF(Popularity!C17&lt;=0,0,IF(Popularity!C17&gt;=100,100,Popularity!C17)))+RAND()/2.2</f>
        <v>36.410069610894148</v>
      </c>
      <c r="W8">
        <f ca="1">IF(Popularity!D17="",ROUND(RAND()*100,0),IF(Popularity!D17&lt;=0,0,IF(Popularity!D17&gt;=100,100,Popularity!D17)))+RAND()/2.2</f>
        <v>17.068937353163111</v>
      </c>
    </row>
    <row r="9" spans="1:23" x14ac:dyDescent="0.25">
      <c r="A9" t="str">
        <f>Relationships!A10</f>
        <v>Jessica</v>
      </c>
      <c r="B9">
        <f ca="1">IF(Relationships!B10="",ROUND(RAND()*A21+A22,0)+RAND()/2.2,IF(Relationships!B10&gt;=101,100,IF(Relationships!B10&lt;=-1,0,Relationships!B10))+RAND()/2.2)</f>
        <v>82.335943293871836</v>
      </c>
      <c r="C9">
        <f ca="1">IF(Relationships!C10="",ROUND(RAND()*A21+A22,0)+RAND()/2.2,IF(Relationships!C10&gt;=101,100,IF(Relationships!C10&lt;=-1,0,Relationships!C10))+RAND()/2.2)</f>
        <v>53.184362828358395</v>
      </c>
      <c r="D9">
        <f ca="1">IF(Relationships!D10="",ROUND(RAND()*A21+A22,0)+RAND()/2.2,IF(Relationships!D10&gt;=101,100,IF(Relationships!D10&lt;=-1,0,Relationships!D10))+RAND()/2.2)</f>
        <v>50.053327478035513</v>
      </c>
      <c r="E9">
        <f ca="1">IF(Relationships!E10="",ROUND(RAND()*A21+A22,0)+RAND()/2.2,IF(Relationships!E10&gt;=101,100,IF(Relationships!E10&lt;=-1,0,Relationships!E10))+RAND()/2.2)</f>
        <v>28.04830338810412</v>
      </c>
      <c r="F9">
        <f ca="1">IF(Relationships!F10="",ROUND(RAND()*A21+A22,0)+RAND()/2.2,IF(Relationships!F10&gt;=101,100,IF(Relationships!F10&lt;=-1,0,Relationships!F10))+RAND()/2.2)</f>
        <v>43.093973233306507</v>
      </c>
      <c r="G9">
        <f ca="1">IF(Relationships!G10="",ROUND(RAND()*A21+A22,0)+RAND()/2.2,IF(Relationships!G10&gt;=101,100,IF(Relationships!G10&lt;=-1,0,Relationships!G10))+RAND()/2.2)</f>
        <v>59.282946937072587</v>
      </c>
      <c r="H9">
        <f ca="1">IF(Relationships!H10="",ROUND(RAND()*A21+A22,0)+RAND()/2.2,IF(Relationships!H10&gt;=101,100,IF(Relationships!H10&lt;=-1,0,Relationships!H10))+RAND()/2.2)</f>
        <v>11.197960789509116</v>
      </c>
      <c r="I9">
        <f ca="1">IF(Relationships!I10="",ROUND(RAND()*A21+A22,0)+RAND()/2.2,IF(Relationships!I10&gt;=101,100,IF(Relationships!I10&lt;=-1,0,Relationships!I10))+RAND()/2.2)</f>
        <v>27.107808049853908</v>
      </c>
      <c r="J9">
        <f ca="1">IF(Relationships!J10="",ROUND(RAND()*A21+A22,0)+RAND()/2.2,IF(Relationships!J10&gt;=101,100,IF(Relationships!J10&lt;=-1,0,Relationships!J10))+RAND()/2.2)</f>
        <v>24.448109969971082</v>
      </c>
      <c r="K9">
        <v>101</v>
      </c>
      <c r="L9">
        <f ca="1">K8</f>
        <v>51.265613737767033</v>
      </c>
      <c r="M9">
        <f ca="1">K7</f>
        <v>70.399092792834807</v>
      </c>
      <c r="N9">
        <f ca="1">K6</f>
        <v>27.303439841764643</v>
      </c>
      <c r="O9">
        <f ca="1">K5</f>
        <v>46.28551811425136</v>
      </c>
      <c r="P9">
        <f ca="1">K4</f>
        <v>68.240859442058181</v>
      </c>
      <c r="Q9">
        <f ca="1">K3</f>
        <v>44.433469371378045</v>
      </c>
      <c r="R9">
        <f ca="1">K2</f>
        <v>38.251270749609361</v>
      </c>
      <c r="S9" t="str">
        <f ca="1">K19</f>
        <v/>
      </c>
      <c r="T9" t="str">
        <f t="shared" si="0"/>
        <v>Jessica</v>
      </c>
      <c r="U9">
        <f ca="1">IF(Popularity!B18="",ROUND(RAND()*100,0),IF(Popularity!B18&lt;=0,0,IF(Popularity!B18&gt;=100,100,Popularity!B18)))+RAND()/2.2</f>
        <v>50.176243400623434</v>
      </c>
      <c r="V9">
        <f ca="1">IF(Popularity!C18="",ROUND(RAND()*100,0),IF(Popularity!C18&lt;=0,0,IF(Popularity!C18&gt;=100,100,Popularity!C18)))+RAND()/2.2</f>
        <v>23.221878678753313</v>
      </c>
      <c r="W9">
        <f ca="1">IF(Popularity!D18="",ROUND(RAND()*100,0),IF(Popularity!D18&lt;=0,0,IF(Popularity!D18&gt;=100,100,Popularity!D18)))+RAND()/2.2</f>
        <v>58.364198002672978</v>
      </c>
    </row>
    <row r="10" spans="1:23" x14ac:dyDescent="0.25">
      <c r="A10" t="str">
        <f>Relationships!A11</f>
        <v>Jillian</v>
      </c>
      <c r="B10">
        <f ca="1">IF(Relationships!B11="",ROUND(RAND()*A21+A22,0)+RAND()/2.2,IF(Relationships!B11&gt;=101,100,IF(Relationships!B11&lt;=-1,0,Relationships!B11))+RAND()/2.2)</f>
        <v>25.012998050500968</v>
      </c>
      <c r="C10">
        <f ca="1">IF(Relationships!C11="",ROUND(RAND()*A21+A22,0)+RAND()/2.2,IF(Relationships!C11&gt;=101,100,IF(Relationships!C11&lt;=-1,0,Relationships!C11))+RAND()/2.2)</f>
        <v>73.189409761983782</v>
      </c>
      <c r="D10">
        <f ca="1">IF(Relationships!D11="",ROUND(RAND()*A21+A22,0)+RAND()/2.2,IF(Relationships!D11&gt;=101,100,IF(Relationships!D11&lt;=-1,0,Relationships!D11))+RAND()/2.2)</f>
        <v>77.05886219496287</v>
      </c>
      <c r="E10">
        <f ca="1">IF(Relationships!E11="",ROUND(RAND()*A21+A22,0)+RAND()/2.2,IF(Relationships!E11&gt;=101,100,IF(Relationships!E11&lt;=-1,0,Relationships!E11))+RAND()/2.2)</f>
        <v>67.02518921112113</v>
      </c>
      <c r="F10">
        <f ca="1">IF(Relationships!F11="",ROUND(RAND()*A21+A22,0)+RAND()/2.2,IF(Relationships!F11&gt;=101,100,IF(Relationships!F11&lt;=-1,0,Relationships!F11))+RAND()/2.2)</f>
        <v>19.01643681995855</v>
      </c>
      <c r="G10">
        <f ca="1">IF(Relationships!G11="",ROUND(RAND()*A21+A22,0)+RAND()/2.2,IF(Relationships!G11&gt;=101,100,IF(Relationships!G11&lt;=-1,0,Relationships!G11))+RAND()/2.2)</f>
        <v>43.053985180386718</v>
      </c>
      <c r="H10">
        <f ca="1">IF(Relationships!H11="",ROUND(RAND()*A21+A22,0)+RAND()/2.2,IF(Relationships!H11&gt;=101,100,IF(Relationships!H11&lt;=-1,0,Relationships!H11))+RAND()/2.2)</f>
        <v>57.005797557037106</v>
      </c>
      <c r="I10">
        <f ca="1">IF(Relationships!I11="",ROUND(RAND()*A21+A22,0)+RAND()/2.2,IF(Relationships!I11&gt;=101,100,IF(Relationships!I11&lt;=-1,0,Relationships!I11))+RAND()/2.2)</f>
        <v>43.203446070435945</v>
      </c>
      <c r="J10">
        <v>101</v>
      </c>
      <c r="K10">
        <f ca="1">J9</f>
        <v>24.448109969971082</v>
      </c>
      <c r="L10">
        <f ca="1">J8</f>
        <v>70.268170824342889</v>
      </c>
      <c r="M10">
        <f ca="1">J7</f>
        <v>61.021456882754954</v>
      </c>
      <c r="N10">
        <f ca="1">J6</f>
        <v>30.350159122876136</v>
      </c>
      <c r="O10">
        <f ca="1">J5</f>
        <v>52.275980603054812</v>
      </c>
      <c r="P10">
        <f ca="1">J4</f>
        <v>45.133515745606985</v>
      </c>
      <c r="Q10">
        <f ca="1">J3</f>
        <v>65.383887637253792</v>
      </c>
      <c r="R10">
        <f ca="1">J2</f>
        <v>59.289460277888111</v>
      </c>
      <c r="S10" t="str">
        <f ca="1">J19</f>
        <v/>
      </c>
      <c r="T10" t="str">
        <f t="shared" si="0"/>
        <v>Jillian</v>
      </c>
      <c r="U10">
        <f ca="1">IF(Popularity!B19="",ROUND(RAND()*100,0),IF(Popularity!B19&lt;=0,0,IF(Popularity!B19&gt;=100,100,Popularity!B19)))+RAND()/2.2</f>
        <v>71.085351421781368</v>
      </c>
      <c r="V10">
        <f ca="1">IF(Popularity!C19="",ROUND(RAND()*100,0),IF(Popularity!C19&lt;=0,0,IF(Popularity!C19&gt;=100,100,Popularity!C19)))+RAND()/2.2</f>
        <v>35.114874770631879</v>
      </c>
      <c r="W10">
        <f ca="1">IF(Popularity!D19="",ROUND(RAND()*100,0),IF(Popularity!D19&lt;=0,0,IF(Popularity!D19&gt;=100,100,Popularity!D19)))+RAND()/2.2</f>
        <v>0.20959349687740736</v>
      </c>
    </row>
    <row r="11" spans="1:23" x14ac:dyDescent="0.25">
      <c r="A11" t="str">
        <f>Relationships!A12</f>
        <v>Josh</v>
      </c>
      <c r="B11">
        <f ca="1">IF(Relationships!B12="",ROUND(RAND()*A21+A22,0)+RAND()/2.2,IF(Relationships!B12&gt;=101,100,IF(Relationships!B12&lt;=-1,0,Relationships!B12))+RAND()/2.2)</f>
        <v>16.322321659313264</v>
      </c>
      <c r="C11">
        <f ca="1">IF(Relationships!C12="",ROUND(RAND()*A21+A22,0)+RAND()/2.2,IF(Relationships!C12&gt;=101,100,IF(Relationships!C12&lt;=-1,0,Relationships!C12))+RAND()/2.2)</f>
        <v>74.254574277272255</v>
      </c>
      <c r="D11">
        <f ca="1">IF(Relationships!D12="",ROUND(RAND()*A21+A22,0)+RAND()/2.2,IF(Relationships!D12&gt;=101,100,IF(Relationships!D12&lt;=-1,0,Relationships!D12))+RAND()/2.2)</f>
        <v>12.100603246962368</v>
      </c>
      <c r="E11">
        <f ca="1">IF(Relationships!E12="",ROUND(RAND()*A21+A22,0)+RAND()/2.2,IF(Relationships!E12&gt;=101,100,IF(Relationships!E12&lt;=-1,0,Relationships!E12))+RAND()/2.2)</f>
        <v>39.032209215594364</v>
      </c>
      <c r="F11">
        <f ca="1">IF(Relationships!F12="",ROUND(RAND()*A21+A22,0)+RAND()/2.2,IF(Relationships!F12&gt;=101,100,IF(Relationships!F12&lt;=-1,0,Relationships!F12))+RAND()/2.2)</f>
        <v>68.143352648752639</v>
      </c>
      <c r="G11">
        <f ca="1">IF(Relationships!G12="",ROUND(RAND()*A21+A22,0)+RAND()/2.2,IF(Relationships!G12&gt;=101,100,IF(Relationships!G12&lt;=-1,0,Relationships!G12))+RAND()/2.2)</f>
        <v>15.422138284256448</v>
      </c>
      <c r="H11">
        <f ca="1">IF(Relationships!H12="",ROUND(RAND()*A21+A22,0)+RAND()/2.2,IF(Relationships!H12&gt;=101,100,IF(Relationships!H12&lt;=-1,0,Relationships!H12))+RAND()/2.2)</f>
        <v>29.453020126957629</v>
      </c>
      <c r="I11">
        <v>101</v>
      </c>
      <c r="J11">
        <f ca="1">I10</f>
        <v>43.203446070435945</v>
      </c>
      <c r="K11">
        <f ca="1">I9</f>
        <v>27.107808049853908</v>
      </c>
      <c r="L11">
        <f ca="1">I8</f>
        <v>36.113202703490856</v>
      </c>
      <c r="M11">
        <f ca="1">I7</f>
        <v>1.1992803304611785</v>
      </c>
      <c r="N11">
        <f ca="1">I6</f>
        <v>0.1796995943016369</v>
      </c>
      <c r="O11">
        <f ca="1">I5</f>
        <v>68.054883665149632</v>
      </c>
      <c r="P11">
        <f ca="1">I4</f>
        <v>15.17715993671249</v>
      </c>
      <c r="Q11">
        <f ca="1">I3</f>
        <v>41.253573787864298</v>
      </c>
      <c r="R11">
        <f ca="1">I2</f>
        <v>43.418986695772595</v>
      </c>
      <c r="S11" t="str">
        <f ca="1">I19</f>
        <v/>
      </c>
      <c r="T11" t="str">
        <f t="shared" si="0"/>
        <v>Josh</v>
      </c>
      <c r="U11">
        <f ca="1">IF(Popularity!B20="",ROUND(RAND()*100,0),IF(Popularity!B20&lt;=0,0,IF(Popularity!B20&gt;=100,100,Popularity!B20)))+RAND()/2.2</f>
        <v>86.110993171401205</v>
      </c>
      <c r="V11">
        <f ca="1">IF(Popularity!C20="",ROUND(RAND()*100,0),IF(Popularity!C20&lt;=0,0,IF(Popularity!C20&gt;=100,100,Popularity!C20)))+RAND()/2.2</f>
        <v>67.29078444552934</v>
      </c>
      <c r="W11">
        <f ca="1">IF(Popularity!D20="",ROUND(RAND()*100,0),IF(Popularity!D20&lt;=0,0,IF(Popularity!D20&gt;=100,100,Popularity!D20)))+RAND()/2.2</f>
        <v>9.4378974628589507</v>
      </c>
    </row>
    <row r="12" spans="1:23" x14ac:dyDescent="0.25">
      <c r="A12" t="str">
        <f>Relationships!A13</f>
        <v>Kevin</v>
      </c>
      <c r="B12">
        <f ca="1">IF(Relationships!B13="",ROUND(RAND()*A21+A22,0)+RAND()/2.2,IF(Relationships!B13&gt;=101,100,IF(Relationships!B13&lt;=-1,0,Relationships!B13))+RAND()/2.2)</f>
        <v>9.0483330910820285</v>
      </c>
      <c r="C12">
        <f ca="1">IF(Relationships!C13="",ROUND(RAND()*A21+A22,0)+RAND()/2.2,IF(Relationships!C13&gt;=101,100,IF(Relationships!C13&lt;=-1,0,Relationships!C13))+RAND()/2.2)</f>
        <v>51.20846826291703</v>
      </c>
      <c r="D12">
        <f ca="1">IF(Relationships!D13="",ROUND(RAND()*A21+A22,0)+RAND()/2.2,IF(Relationships!D13&gt;=101,100,IF(Relationships!D13&lt;=-1,0,Relationships!D13))+RAND()/2.2)</f>
        <v>50.352507955622592</v>
      </c>
      <c r="E12">
        <f ca="1">IF(Relationships!E13="",ROUND(RAND()*A21+A22,0)+RAND()/2.2,IF(Relationships!E13&gt;=101,100,IF(Relationships!E13&lt;=-1,0,Relationships!E13))+RAND()/2.2)</f>
        <v>2.3561536018883249</v>
      </c>
      <c r="F12">
        <f ca="1">IF(Relationships!F13="",ROUND(RAND()*A21+A22,0)+RAND()/2.2,IF(Relationships!F13&gt;=101,100,IF(Relationships!F13&lt;=-1,0,Relationships!F13))+RAND()/2.2)</f>
        <v>44.196719820567566</v>
      </c>
      <c r="G12">
        <f ca="1">IF(Relationships!G13="",ROUND(RAND()*A21+A22,0)+RAND()/2.2,IF(Relationships!G13&gt;=101,100,IF(Relationships!G13&lt;=-1,0,Relationships!G13))+RAND()/2.2)</f>
        <v>48.271020409761441</v>
      </c>
      <c r="H12">
        <v>101</v>
      </c>
      <c r="I12">
        <f ca="1">H11</f>
        <v>29.453020126957629</v>
      </c>
      <c r="J12">
        <f ca="1">H10</f>
        <v>57.005797557037106</v>
      </c>
      <c r="K12">
        <f ca="1">H9</f>
        <v>11.197960789509116</v>
      </c>
      <c r="L12">
        <f ca="1">H8</f>
        <v>43.411569347904418</v>
      </c>
      <c r="M12">
        <f ca="1">H7</f>
        <v>44.172127759170287</v>
      </c>
      <c r="N12">
        <f ca="1">H6</f>
        <v>74.428962462310309</v>
      </c>
      <c r="O12">
        <f ca="1">H5</f>
        <v>51.410289552089814</v>
      </c>
      <c r="P12">
        <f ca="1">H4</f>
        <v>68.355215621318209</v>
      </c>
      <c r="Q12">
        <f ca="1">H3</f>
        <v>76.357698417700803</v>
      </c>
      <c r="R12">
        <f ca="1">H2</f>
        <v>6.0862485031359119</v>
      </c>
      <c r="S12" t="str">
        <f ca="1">H19</f>
        <v/>
      </c>
      <c r="T12" t="str">
        <f t="shared" si="0"/>
        <v>Kevin</v>
      </c>
      <c r="U12">
        <f ca="1">IF(Popularity!B21="",ROUND(RAND()*100,0),IF(Popularity!B21&lt;=0,0,IF(Popularity!B21&gt;=100,100,Popularity!B21)))+RAND()/2.2</f>
        <v>57.33294749150128</v>
      </c>
      <c r="V12">
        <f ca="1">IF(Popularity!C21="",ROUND(RAND()*100,0),IF(Popularity!C21&lt;=0,0,IF(Popularity!C21&gt;=100,100,Popularity!C21)))+RAND()/2.2</f>
        <v>97.368930454534834</v>
      </c>
      <c r="W12">
        <f ca="1">IF(Popularity!D21="",ROUND(RAND()*100,0),IF(Popularity!D21&lt;=0,0,IF(Popularity!D21&gt;=100,100,Popularity!D21)))+RAND()/2.2</f>
        <v>53.277049670657277</v>
      </c>
    </row>
    <row r="13" spans="1:23" x14ac:dyDescent="0.25">
      <c r="A13" t="str">
        <f>Relationships!A14</f>
        <v>Mark</v>
      </c>
      <c r="B13">
        <f ca="1">IF(Relationships!B14="",ROUND(RAND()*A21+A22,0)+RAND()/2.2,IF(Relationships!B14&gt;=101,100,IF(Relationships!B14&lt;=-1,0,Relationships!B14))+RAND()/2.2)</f>
        <v>14.404075662040396</v>
      </c>
      <c r="C13">
        <f ca="1">IF(Relationships!C14="",ROUND(RAND()*A21+A22,0)+RAND()/2.2,IF(Relationships!C14&gt;=101,100,IF(Relationships!C14&lt;=-1,0,Relationships!C14))+RAND()/2.2)</f>
        <v>16.049435784814797</v>
      </c>
      <c r="D13">
        <f ca="1">IF(Relationships!D14="",ROUND(RAND()*A21+A22,0)+RAND()/2.2,IF(Relationships!D14&gt;=101,100,IF(Relationships!D14&lt;=-1,0,Relationships!D14))+RAND()/2.2)</f>
        <v>33.124008590904644</v>
      </c>
      <c r="E13">
        <f ca="1">IF(Relationships!E14="",ROUND(RAND()*A21+A22,0)+RAND()/2.2,IF(Relationships!E14&gt;=101,100,IF(Relationships!E14&lt;=-1,0,Relationships!E14))+RAND()/2.2)</f>
        <v>7.442508972552484</v>
      </c>
      <c r="F13">
        <f ca="1">IF(Relationships!F14="",ROUND(RAND()*A21+A22,0)+RAND()/2.2,IF(Relationships!F14&gt;=101,100,IF(Relationships!F14&lt;=-1,0,Relationships!F14))+RAND()/2.2)</f>
        <v>24.202774351677192</v>
      </c>
      <c r="G13">
        <v>101</v>
      </c>
      <c r="H13">
        <f ca="1">G12</f>
        <v>48.271020409761441</v>
      </c>
      <c r="I13">
        <f ca="1">G11</f>
        <v>15.422138284256448</v>
      </c>
      <c r="J13">
        <f ca="1">G10</f>
        <v>43.053985180386718</v>
      </c>
      <c r="K13">
        <f ca="1">G9</f>
        <v>59.282946937072587</v>
      </c>
      <c r="L13">
        <f ca="1">G8</f>
        <v>45.249910546888039</v>
      </c>
      <c r="M13">
        <f ca="1">G7</f>
        <v>42.203489365903273</v>
      </c>
      <c r="N13">
        <f ca="1">G6</f>
        <v>73.102607973869453</v>
      </c>
      <c r="O13">
        <f ca="1">G5</f>
        <v>24.230698123089187</v>
      </c>
      <c r="P13">
        <f ca="1">G4</f>
        <v>72.406235089083978</v>
      </c>
      <c r="Q13">
        <f ca="1">G3</f>
        <v>17.366447548995119</v>
      </c>
      <c r="R13">
        <f ca="1">G2</f>
        <v>76.31237136960803</v>
      </c>
      <c r="S13" t="str">
        <f ca="1">G19</f>
        <v/>
      </c>
      <c r="T13" t="str">
        <f t="shared" si="0"/>
        <v>Mark</v>
      </c>
      <c r="U13">
        <f ca="1">IF(Popularity!B22="",ROUND(RAND()*100,0),IF(Popularity!B22&lt;=0,0,IF(Popularity!B22&gt;=100,100,Popularity!B22)))+RAND()/2.2</f>
        <v>77.156132461049609</v>
      </c>
      <c r="V13">
        <f ca="1">IF(Popularity!C22="",ROUND(RAND()*100,0),IF(Popularity!C22&lt;=0,0,IF(Popularity!C22&gt;=100,100,Popularity!C22)))+RAND()/2.2</f>
        <v>47.102769592715191</v>
      </c>
      <c r="W13">
        <f ca="1">IF(Popularity!D22="",ROUND(RAND()*100,0),IF(Popularity!D22&lt;=0,0,IF(Popularity!D22&gt;=100,100,Popularity!D22)))+RAND()/2.2</f>
        <v>43.362320648967305</v>
      </c>
    </row>
    <row r="14" spans="1:23" x14ac:dyDescent="0.25">
      <c r="A14" t="str">
        <f>Relationships!A15</f>
        <v>Matt</v>
      </c>
      <c r="B14">
        <f ca="1">IF(Relationships!B15="",ROUND(RAND()*A21+A22,0)+RAND()/2.2,IF(Relationships!B15&gt;=101,100,IF(Relationships!B15&lt;=-1,0,Relationships!B15))+RAND()/2.2)</f>
        <v>16.041606218120869</v>
      </c>
      <c r="C14">
        <f ca="1">IF(Relationships!C15="",ROUND(RAND()*A21+A22,0)+RAND()/2.2,IF(Relationships!C15&gt;=101,100,IF(Relationships!C15&lt;=-1,0,Relationships!C15))+RAND()/2.2)</f>
        <v>51.299683179009882</v>
      </c>
      <c r="D14">
        <f ca="1">IF(Relationships!D15="",ROUND(RAND()*A21+A22,0)+RAND()/2.2,IF(Relationships!D15&gt;=101,100,IF(Relationships!D15&lt;=-1,0,Relationships!D15))+RAND()/2.2)</f>
        <v>67.088670351686758</v>
      </c>
      <c r="E14">
        <f ca="1">IF(Relationships!E15="",ROUND(RAND()*A21+A22,0)+RAND()/2.2,IF(Relationships!E15&gt;=101,100,IF(Relationships!E15&lt;=-1,0,Relationships!E15))+RAND()/2.2)</f>
        <v>72.313428826708588</v>
      </c>
      <c r="F14">
        <v>101</v>
      </c>
      <c r="G14">
        <f ca="1">F13</f>
        <v>24.202774351677192</v>
      </c>
      <c r="H14">
        <f ca="1">F12</f>
        <v>44.196719820567566</v>
      </c>
      <c r="I14">
        <f ca="1">F11</f>
        <v>68.143352648752639</v>
      </c>
      <c r="J14">
        <f ca="1">F10</f>
        <v>19.01643681995855</v>
      </c>
      <c r="K14">
        <f ca="1">F9</f>
        <v>43.093973233306507</v>
      </c>
      <c r="L14">
        <f ca="1">F8</f>
        <v>84.449421673651997</v>
      </c>
      <c r="M14">
        <f ca="1">F7</f>
        <v>5.1215439768423332</v>
      </c>
      <c r="N14">
        <f ca="1">F6</f>
        <v>82.401953074585833</v>
      </c>
      <c r="O14">
        <f ca="1">F5</f>
        <v>77.161630741743451</v>
      </c>
      <c r="P14">
        <f ca="1">F4</f>
        <v>85.372246819883017</v>
      </c>
      <c r="Q14">
        <f ca="1">F3</f>
        <v>68.279130379841646</v>
      </c>
      <c r="R14">
        <f ca="1">F2</f>
        <v>1.3087948788959189</v>
      </c>
      <c r="S14" t="str">
        <f ca="1">F19</f>
        <v/>
      </c>
      <c r="T14" t="str">
        <f t="shared" si="0"/>
        <v>Matt</v>
      </c>
      <c r="U14">
        <f ca="1">IF(Popularity!B23="",ROUND(RAND()*100,0),IF(Popularity!B23&lt;=0,0,IF(Popularity!B23&gt;=100,100,Popularity!B23)))+RAND()/2.2</f>
        <v>24.134680932285242</v>
      </c>
      <c r="V14">
        <f ca="1">IF(Popularity!C23="",ROUND(RAND()*100,0),IF(Popularity!C23&lt;=0,0,IF(Popularity!C23&gt;=100,100,Popularity!C23)))+RAND()/2.2</f>
        <v>24.238827332358262</v>
      </c>
      <c r="W14">
        <f ca="1">IF(Popularity!D23="",ROUND(RAND()*100,0),IF(Popularity!D23&lt;=0,0,IF(Popularity!D23&gt;=100,100,Popularity!D23)))+RAND()/2.2</f>
        <v>84.272357708403192</v>
      </c>
    </row>
    <row r="15" spans="1:23" x14ac:dyDescent="0.25">
      <c r="A15" t="str">
        <f>Relationships!A16</f>
        <v>Megan</v>
      </c>
      <c r="B15">
        <f ca="1">IF(Relationships!B16="",ROUND(RAND()*A21+A22,0)+RAND()/2.2,IF(Relationships!B16&gt;=101,100,IF(Relationships!B16&lt;=-1,0,Relationships!B16))+RAND()/2.2)</f>
        <v>10.140565248618941</v>
      </c>
      <c r="C15">
        <f ca="1">IF(Relationships!C16="",ROUND(RAND()*A21+A22,0)+RAND()/2.2,IF(Relationships!C16&gt;=101,100,IF(Relationships!C16&lt;=-1,0,Relationships!C16))+RAND()/2.2)</f>
        <v>54.337913644821178</v>
      </c>
      <c r="D15">
        <f ca="1">IF(Relationships!D16="",ROUND(RAND()*A21+A22,0)+RAND()/2.2,IF(Relationships!D16&gt;=101,100,IF(Relationships!D16&lt;=-1,0,Relationships!D16))+RAND()/2.2)</f>
        <v>77.085964602047639</v>
      </c>
      <c r="E15">
        <v>101</v>
      </c>
      <c r="F15">
        <f ca="1">E14</f>
        <v>72.313428826708588</v>
      </c>
      <c r="G15">
        <f ca="1">E13</f>
        <v>7.442508972552484</v>
      </c>
      <c r="H15">
        <f ca="1">E12</f>
        <v>2.3561536018883249</v>
      </c>
      <c r="I15">
        <f ca="1">E11</f>
        <v>39.032209215594364</v>
      </c>
      <c r="J15">
        <f ca="1">E10</f>
        <v>67.02518921112113</v>
      </c>
      <c r="K15">
        <f ca="1">E9</f>
        <v>28.04830338810412</v>
      </c>
      <c r="L15">
        <f ca="1">E8</f>
        <v>79.425080473582895</v>
      </c>
      <c r="M15">
        <f ca="1">E7</f>
        <v>22.384831157245035</v>
      </c>
      <c r="N15">
        <f ca="1">E6</f>
        <v>10.295800985744208</v>
      </c>
      <c r="O15">
        <f ca="1">E5</f>
        <v>18.048940847008435</v>
      </c>
      <c r="P15">
        <f ca="1">E4</f>
        <v>7.1318867821929848</v>
      </c>
      <c r="Q15">
        <f ca="1">E3</f>
        <v>61.288270954429585</v>
      </c>
      <c r="R15">
        <f ca="1">E2</f>
        <v>54.092933100007563</v>
      </c>
      <c r="S15" t="str">
        <f ca="1">E19</f>
        <v/>
      </c>
      <c r="T15" t="str">
        <f t="shared" si="0"/>
        <v>Megan</v>
      </c>
      <c r="U15">
        <f ca="1">IF(Popularity!B24="",ROUND(RAND()*100,0),IF(Popularity!B24&lt;=0,0,IF(Popularity!B24&gt;=100,100,Popularity!B24)))+RAND()/2.2</f>
        <v>62.28223291756251</v>
      </c>
      <c r="V15">
        <f ca="1">IF(Popularity!C24="",ROUND(RAND()*100,0),IF(Popularity!C24&lt;=0,0,IF(Popularity!C24&gt;=100,100,Popularity!C24)))+RAND()/2.2</f>
        <v>20.271995550620964</v>
      </c>
      <c r="W15">
        <f ca="1">IF(Popularity!D24="",ROUND(RAND()*100,0),IF(Popularity!D24&lt;=0,0,IF(Popularity!D24&gt;=100,100,Popularity!D24)))+RAND()/2.2</f>
        <v>58.098365335466774</v>
      </c>
    </row>
    <row r="16" spans="1:23" x14ac:dyDescent="0.25">
      <c r="A16" t="str">
        <f>Relationships!A17</f>
        <v>Paul</v>
      </c>
      <c r="B16">
        <f ca="1">IF(Relationships!B17="",ROUND(RAND()*A21+A22,0)+RAND()/2.2,IF(Relationships!B17&gt;=101,100,IF(Relationships!B17&lt;=-1,0,Relationships!B17))+RAND()/2.2)</f>
        <v>3.2624021588646253</v>
      </c>
      <c r="C16">
        <f ca="1">IF(Relationships!C17="",ROUND(RAND()*A21+A22,0)+RAND()/2.2,IF(Relationships!C17&gt;=101,100,IF(Relationships!C17&lt;=-1,0,Relationships!C17))+RAND()/2.2)</f>
        <v>73.374904379002274</v>
      </c>
      <c r="D16">
        <v>101</v>
      </c>
      <c r="E16">
        <f ca="1">D15</f>
        <v>77.085964602047639</v>
      </c>
      <c r="F16">
        <f ca="1">D14</f>
        <v>67.088670351686758</v>
      </c>
      <c r="G16">
        <f ca="1">D13</f>
        <v>33.124008590904644</v>
      </c>
      <c r="H16">
        <f ca="1">D12</f>
        <v>50.352507955622592</v>
      </c>
      <c r="I16">
        <f ca="1">D11</f>
        <v>12.100603246962368</v>
      </c>
      <c r="J16">
        <f ca="1">D10</f>
        <v>77.05886219496287</v>
      </c>
      <c r="K16">
        <f ca="1">D9</f>
        <v>50.053327478035513</v>
      </c>
      <c r="L16">
        <f ca="1">D8</f>
        <v>42.41311274915639</v>
      </c>
      <c r="M16">
        <f ca="1">D7</f>
        <v>41.015339216176564</v>
      </c>
      <c r="N16">
        <f ca="1">D6</f>
        <v>18.022345252469293</v>
      </c>
      <c r="O16">
        <f ca="1">D5</f>
        <v>29.125927884074365</v>
      </c>
      <c r="P16">
        <f ca="1">D4</f>
        <v>53.29140447056318</v>
      </c>
      <c r="Q16">
        <f ca="1">D3</f>
        <v>10.126848194985453</v>
      </c>
      <c r="R16">
        <f ca="1">D2</f>
        <v>9.0531646568378896</v>
      </c>
      <c r="S16" t="str">
        <f ca="1">D19</f>
        <v/>
      </c>
      <c r="T16" t="str">
        <f t="shared" si="0"/>
        <v>Paul</v>
      </c>
      <c r="U16">
        <f ca="1">IF(Popularity!B25="",ROUND(RAND()*100,0),IF(Popularity!B25&lt;=0,0,IF(Popularity!B25&gt;=100,100,Popularity!B25)))+RAND()/2.2</f>
        <v>25.061646215321073</v>
      </c>
      <c r="V16">
        <f ca="1">IF(Popularity!C25="",ROUND(RAND()*100,0),IF(Popularity!C25&lt;=0,0,IF(Popularity!C25&gt;=100,100,Popularity!C25)))+RAND()/2.2</f>
        <v>26.431621916763437</v>
      </c>
      <c r="W16">
        <f ca="1">IF(Popularity!D25="",ROUND(RAND()*100,0),IF(Popularity!D25&lt;=0,0,IF(Popularity!D25&gt;=100,100,Popularity!D25)))+RAND()/2.2</f>
        <v>28.412518513462672</v>
      </c>
    </row>
    <row r="17" spans="1:23" x14ac:dyDescent="0.25">
      <c r="A17" t="str">
        <f>Relationships!A18</f>
        <v>Ramses</v>
      </c>
      <c r="B17">
        <f ca="1">IF(Relationships!B18="",ROUND(RAND()*A21+A22,0)+RAND()/2.2,IF(Relationships!B18&gt;=101,100,IF(Relationships!B18&lt;=-1,0,Relationships!B18))+RAND()/2.2)</f>
        <v>61.058885096535313</v>
      </c>
      <c r="C17">
        <v>101</v>
      </c>
      <c r="D17">
        <f ca="1">C16</f>
        <v>73.374904379002274</v>
      </c>
      <c r="E17">
        <f ca="1">C15</f>
        <v>54.337913644821178</v>
      </c>
      <c r="F17">
        <f ca="1">C14</f>
        <v>51.299683179009882</v>
      </c>
      <c r="G17">
        <f ca="1">C13</f>
        <v>16.049435784814797</v>
      </c>
      <c r="H17">
        <f ca="1">C12</f>
        <v>51.20846826291703</v>
      </c>
      <c r="I17">
        <f ca="1">C11</f>
        <v>74.254574277272255</v>
      </c>
      <c r="J17">
        <f ca="1">C10</f>
        <v>73.189409761983782</v>
      </c>
      <c r="K17">
        <f ca="1">C9</f>
        <v>53.184362828358395</v>
      </c>
      <c r="L17">
        <f ca="1">C8</f>
        <v>3.2767850456034151</v>
      </c>
      <c r="M17">
        <f ca="1">C7</f>
        <v>12.228426676996929</v>
      </c>
      <c r="N17">
        <f ca="1">C6</f>
        <v>29.432924068492881</v>
      </c>
      <c r="O17">
        <f ca="1">C5</f>
        <v>12.024799850985175</v>
      </c>
      <c r="P17">
        <f ca="1">C4</f>
        <v>83.393267987413225</v>
      </c>
      <c r="Q17">
        <f ca="1">C3</f>
        <v>7.0998209115564732</v>
      </c>
      <c r="R17">
        <f ca="1">C2</f>
        <v>45.100969035321583</v>
      </c>
      <c r="S17" t="str">
        <f ca="1">C19</f>
        <v/>
      </c>
      <c r="T17" t="str">
        <f t="shared" si="0"/>
        <v>Ramses</v>
      </c>
      <c r="U17">
        <f ca="1">IF(Popularity!B26="",ROUND(RAND()*100,0),IF(Popularity!B26&lt;=0,0,IF(Popularity!B26&gt;=100,100,Popularity!B26)))+RAND()/2.2</f>
        <v>15.071410944858011</v>
      </c>
      <c r="V17">
        <f ca="1">IF(Popularity!C26="",ROUND(RAND()*100,0),IF(Popularity!C26&lt;=0,0,IF(Popularity!C26&gt;=100,100,Popularity!C26)))+RAND()/2.2</f>
        <v>38.221920435608901</v>
      </c>
      <c r="W17">
        <f ca="1">IF(Popularity!D26="",ROUND(RAND()*100,0),IF(Popularity!D26&lt;=0,0,IF(Popularity!D26&gt;=100,100,Popularity!D26)))+RAND()/2.2</f>
        <v>63.077716305726696</v>
      </c>
    </row>
    <row r="18" spans="1:23" x14ac:dyDescent="0.25">
      <c r="A18" t="str">
        <f>Relationships!A19</f>
        <v>Raven</v>
      </c>
      <c r="B18">
        <v>101</v>
      </c>
      <c r="C18">
        <f ca="1">B17</f>
        <v>61.058885096535313</v>
      </c>
      <c r="D18">
        <f ca="1">B16</f>
        <v>3.2624021588646253</v>
      </c>
      <c r="E18">
        <f ca="1">B15</f>
        <v>10.140565248618941</v>
      </c>
      <c r="F18">
        <f ca="1">B14</f>
        <v>16.041606218120869</v>
      </c>
      <c r="G18">
        <f ca="1">B13</f>
        <v>14.404075662040396</v>
      </c>
      <c r="H18">
        <f ca="1">B12</f>
        <v>9.0483330910820285</v>
      </c>
      <c r="I18">
        <f ca="1">B11</f>
        <v>16.322321659313264</v>
      </c>
      <c r="J18">
        <f ca="1">B10</f>
        <v>25.012998050500968</v>
      </c>
      <c r="K18">
        <f ca="1">B9</f>
        <v>82.335943293871836</v>
      </c>
      <c r="L18">
        <f ca="1">B8</f>
        <v>26.449699295094824</v>
      </c>
      <c r="M18">
        <f ca="1">B7</f>
        <v>56.2767320805171</v>
      </c>
      <c r="N18">
        <f ca="1">B6</f>
        <v>82.001622786281857</v>
      </c>
      <c r="O18">
        <f ca="1">B5</f>
        <v>73.03778757742748</v>
      </c>
      <c r="P18">
        <f ca="1">B4</f>
        <v>49.206725336114673</v>
      </c>
      <c r="Q18">
        <f ca="1">B3</f>
        <v>47.409368445659858</v>
      </c>
      <c r="R18">
        <f ca="1">B2</f>
        <v>27.072683409527087</v>
      </c>
      <c r="S18" t="str">
        <f ca="1">B19</f>
        <v/>
      </c>
      <c r="T18" t="str">
        <f t="shared" si="0"/>
        <v>Raven</v>
      </c>
      <c r="U18">
        <f ca="1">IF(Popularity!B27="",ROUND(RAND()*100,0),IF(Popularity!B27&lt;=0,0,IF(Popularity!B27&gt;=100,100,Popularity!B27)))+RAND()/2.2</f>
        <v>14.181123344640714</v>
      </c>
      <c r="V18">
        <f ca="1">IF(Popularity!C27="",ROUND(RAND()*100,0),IF(Popularity!C27&lt;=0,0,IF(Popularity!C27&gt;=100,100,Popularity!C27)))+RAND()/2.2</f>
        <v>95.192597657999087</v>
      </c>
      <c r="W18">
        <f ca="1">IF(Popularity!D27="",ROUND(RAND()*100,0),IF(Popularity!D27&lt;=0,0,IF(Popularity!D27&gt;=100,100,Popularity!D27)))+RAND()/2.2</f>
        <v>1.3698702078190939</v>
      </c>
    </row>
    <row r="19" spans="1:23" x14ac:dyDescent="0.25">
      <c r="A19" t="str">
        <f>IF(Game!F876="debut",Game!H875,"")</f>
        <v/>
      </c>
      <c r="B19" t="str">
        <f t="shared" ref="B19:R19" ca="1" si="1">IF($A$19="","",ROUND(RAND()*$A$21+$A$22,0)+RAND()/2.2)</f>
        <v/>
      </c>
      <c r="C19" t="str">
        <f t="shared" ca="1" si="1"/>
        <v/>
      </c>
      <c r="D19" t="str">
        <f t="shared" ca="1" si="1"/>
        <v/>
      </c>
      <c r="E19" t="str">
        <f t="shared" ca="1" si="1"/>
        <v/>
      </c>
      <c r="F19" t="str">
        <f t="shared" ca="1" si="1"/>
        <v/>
      </c>
      <c r="G19" t="str">
        <f t="shared" ca="1" si="1"/>
        <v/>
      </c>
      <c r="H19" t="str">
        <f t="shared" ca="1" si="1"/>
        <v/>
      </c>
      <c r="I19" t="str">
        <f t="shared" ca="1" si="1"/>
        <v/>
      </c>
      <c r="J19" t="str">
        <f t="shared" ca="1" si="1"/>
        <v/>
      </c>
      <c r="K19" t="str">
        <f t="shared" ca="1" si="1"/>
        <v/>
      </c>
      <c r="L19" t="str">
        <f t="shared" ca="1" si="1"/>
        <v/>
      </c>
      <c r="M19" t="str">
        <f t="shared" ca="1" si="1"/>
        <v/>
      </c>
      <c r="N19" t="str">
        <f t="shared" ca="1" si="1"/>
        <v/>
      </c>
      <c r="O19" t="str">
        <f t="shared" ca="1" si="1"/>
        <v/>
      </c>
      <c r="P19" t="str">
        <f t="shared" ca="1" si="1"/>
        <v/>
      </c>
      <c r="Q19" t="str">
        <f t="shared" ca="1" si="1"/>
        <v/>
      </c>
      <c r="R19" t="str">
        <f t="shared" ca="1" si="1"/>
        <v/>
      </c>
      <c r="S19" t="str">
        <f>IF(S1="","",101)</f>
        <v/>
      </c>
    </row>
    <row r="20" spans="1:23" x14ac:dyDescent="0.25">
      <c r="U20" t="str">
        <f ca="1">INDEX(T2:T18,MATCH(LARGE(U2:U18,1),U2:U18,0))</f>
        <v>Jason</v>
      </c>
    </row>
    <row r="21" spans="1:23" x14ac:dyDescent="0.25">
      <c r="A21">
        <f>A23-A22</f>
        <v>85</v>
      </c>
      <c r="U21" t="str">
        <f ca="1">INDEX(T2:T18,MATCH(LARGE(U2:U18,2),U2:U18,0))</f>
        <v>Alex</v>
      </c>
    </row>
    <row r="22" spans="1:23" x14ac:dyDescent="0.25">
      <c r="A22">
        <f>IF(Relationships!B22&lt;=0,0,Relationships!B22)</f>
        <v>0</v>
      </c>
      <c r="U22" t="str">
        <f ca="1">INDEX(T2:T18,MATCH(LARGE(U2:U18,3),U2:U18,0))</f>
        <v>Josh</v>
      </c>
    </row>
    <row r="23" spans="1:23" x14ac:dyDescent="0.25">
      <c r="A23">
        <f>IF(Relationships!B23&gt;=100,100,Relationships!B23)</f>
        <v>85</v>
      </c>
    </row>
    <row r="24" spans="1:23" x14ac:dyDescent="0.25">
      <c r="B24" t="str">
        <f t="shared" ref="B24:R24" si="2">B1</f>
        <v>Raven</v>
      </c>
      <c r="C24" t="str">
        <f t="shared" si="2"/>
        <v>Ramses</v>
      </c>
      <c r="D24" t="str">
        <f t="shared" si="2"/>
        <v>Paul</v>
      </c>
      <c r="E24" t="str">
        <f t="shared" si="2"/>
        <v>Megan</v>
      </c>
      <c r="F24" t="str">
        <f t="shared" si="2"/>
        <v>Matt</v>
      </c>
      <c r="G24" t="str">
        <f t="shared" si="2"/>
        <v>Mark</v>
      </c>
      <c r="H24" t="str">
        <f t="shared" si="2"/>
        <v>Kevin</v>
      </c>
      <c r="I24" t="str">
        <f t="shared" si="2"/>
        <v>Josh</v>
      </c>
      <c r="J24" t="str">
        <f t="shared" si="2"/>
        <v>Jillian</v>
      </c>
      <c r="K24" t="str">
        <f t="shared" si="2"/>
        <v>Jessica</v>
      </c>
      <c r="L24" t="str">
        <f t="shared" si="2"/>
        <v>Jason</v>
      </c>
      <c r="M24" t="str">
        <f t="shared" si="2"/>
        <v>Elena</v>
      </c>
      <c r="N24" t="str">
        <f t="shared" si="2"/>
        <v>Dominique</v>
      </c>
      <c r="O24" t="str">
        <f t="shared" si="2"/>
        <v>Cody</v>
      </c>
      <c r="P24" t="str">
        <f t="shared" si="2"/>
        <v>Christmas</v>
      </c>
      <c r="Q24" t="str">
        <f t="shared" si="2"/>
        <v>Cameron</v>
      </c>
      <c r="R24" t="str">
        <f t="shared" si="2"/>
        <v>Alex</v>
      </c>
    </row>
    <row r="25" spans="1:23" x14ac:dyDescent="0.25">
      <c r="B25" t="str">
        <f ca="1">INDEX(A2:A18,MATCH(LARGE(B2:B18,2),B2:B18,0))</f>
        <v>Jessica</v>
      </c>
      <c r="C25" t="str">
        <f ca="1">INDEX(A2:A18,MATCH(LARGE(C2:C18,2),C2:C18,0))</f>
        <v>Christmas</v>
      </c>
      <c r="D25" t="str">
        <f ca="1">INDEX(A2:A18,MATCH(LARGE(D2:D18,2),D2:D18,0))</f>
        <v>Megan</v>
      </c>
      <c r="E25" t="str">
        <f ca="1">INDEX(A2:A18,MATCH(LARGE(E2:E18,2),E2:E18,0))</f>
        <v>Jason</v>
      </c>
      <c r="F25" t="str">
        <f ca="1">INDEX(A2:A18,MATCH(LARGE(F2:F18,2),F2:F18,0))</f>
        <v>Christmas</v>
      </c>
      <c r="G25" t="str">
        <f ca="1">INDEX(A2:A18,MATCH(LARGE(G2:G18,2),G2:G18,0))</f>
        <v>Alex</v>
      </c>
      <c r="H25" t="str">
        <f ca="1">INDEX(A2:A18,MATCH(LARGE(H2:H18,2),H2:H18,0))</f>
        <v>Cameron</v>
      </c>
      <c r="I25" t="str">
        <f ca="1">INDEX(A2:A18,MATCH(LARGE(I2:I18,2),I2:I18,0))</f>
        <v>Ramses</v>
      </c>
      <c r="J25" t="str">
        <f ca="1">INDEX(A2:A18,MATCH(LARGE(J2:J18,2),J2:J18,0))</f>
        <v>Paul</v>
      </c>
      <c r="K25" t="str">
        <f ca="1">INDEX(A2:A18,MATCH(LARGE(K2:K18,2),K2:K18,0))</f>
        <v>Raven</v>
      </c>
      <c r="L25" t="str">
        <f ca="1">INDEX(A2:A18,MATCH(LARGE(L2:L18,2),L2:L18,0))</f>
        <v>Matt</v>
      </c>
      <c r="M25" t="str">
        <f ca="1">INDEX(A2:A18,MATCH(LARGE(M2:M18,2),M2:M18,0))</f>
        <v>Cody</v>
      </c>
      <c r="N25" t="str">
        <f ca="1">INDEX(A2:A18,MATCH(LARGE(N2:N18,2),N2:N18,0))</f>
        <v>Matt</v>
      </c>
      <c r="O25" t="str">
        <f ca="1">INDEX(A2:A18,MATCH(LARGE(O2:O18,2),O2:O18,0))</f>
        <v>Elena</v>
      </c>
      <c r="P25" t="str">
        <f ca="1">INDEX(A2:A18,MATCH(LARGE(P2:P18,2),P2:P18,0))</f>
        <v>Matt</v>
      </c>
      <c r="Q25" t="str">
        <f ca="1">INDEX(A2:A18,MATCH(LARGE(Q2:Q18,2),Q2:Q18,0))</f>
        <v>Kevin</v>
      </c>
      <c r="R25" t="str">
        <f ca="1">INDEX(A2:A18,MATCH(LARGE(R2:R18,2),R2:R18,0))</f>
        <v>Mark</v>
      </c>
    </row>
    <row r="26" spans="1:23" x14ac:dyDescent="0.25">
      <c r="B26" t="str">
        <f ca="1">INDEX(A2:A18,MATCH(LARGE(B2:B18,3),B2:B18,0))</f>
        <v>Dominique</v>
      </c>
      <c r="C26" t="str">
        <f ca="1">INDEX(A2:A18,MATCH(LARGE(C2:C18,3),C2:C18,0))</f>
        <v>Josh</v>
      </c>
      <c r="D26" t="str">
        <f ca="1">INDEX(A2:A18,MATCH(LARGE(D2:D18,3),D2:D18,0))</f>
        <v>Jillian</v>
      </c>
      <c r="E26" t="str">
        <f ca="1">INDEX(A2:A18,MATCH(LARGE(E2:E18,3),E2:E18,0))</f>
        <v>Paul</v>
      </c>
      <c r="F26" t="str">
        <f ca="1">INDEX(A2:A18,MATCH(LARGE(F2:F18,3),F2:F18,0))</f>
        <v>Jason</v>
      </c>
      <c r="G26" t="str">
        <f ca="1">INDEX(A2:A18,MATCH(LARGE(G2:G18,3),G2:G18,0))</f>
        <v>Dominique</v>
      </c>
      <c r="H26" t="str">
        <f ca="1">INDEX(A2:A18,MATCH(LARGE(H2:H18,3),H2:H18,0))</f>
        <v>Dominique</v>
      </c>
      <c r="I26" t="str">
        <f ca="1">INDEX(A2:A18,MATCH(LARGE(I2:I18,3),I2:I18,0))</f>
        <v>Matt</v>
      </c>
      <c r="J26" t="str">
        <f ca="1">INDEX(A2:A18,MATCH(LARGE(J2:J18,3),J2:J18,0))</f>
        <v>Ramses</v>
      </c>
      <c r="K26" t="str">
        <f ca="1">INDEX(A2:A18,MATCH(LARGE(K2:K18,3),K2:K18,0))</f>
        <v>Elena</v>
      </c>
      <c r="L26" t="str">
        <f ca="1">INDEX(A2:A18,MATCH(LARGE(L2:L18,3),L2:L18,0))</f>
        <v>Megan</v>
      </c>
      <c r="M26" t="str">
        <f ca="1">INDEX(A2:A18,MATCH(LARGE(M2:M18,3),M2:M18,0))</f>
        <v>Alex</v>
      </c>
      <c r="N26" t="str">
        <f ca="1">INDEX(A2:A18,MATCH(LARGE(N2:N18,3),N2:N18,0))</f>
        <v>Christmas</v>
      </c>
      <c r="O26" t="str">
        <f ca="1">INDEX(A2:A18,MATCH(LARGE(O2:O18,3),O2:O18,0))</f>
        <v>Matt</v>
      </c>
      <c r="P26" t="str">
        <f ca="1">INDEX(A2:A18,MATCH(LARGE(P2:P18,3),P2:P18,0))</f>
        <v>Ramses</v>
      </c>
      <c r="Q26" t="str">
        <f ca="1">INDEX(A2:A18,MATCH(LARGE(Q2:Q18,3),Q2:Q18,0))</f>
        <v>Alex</v>
      </c>
      <c r="R26" t="str">
        <f ca="1">INDEX(A2:A18,MATCH(LARGE(R2:R18,3),R2:R18,0))</f>
        <v>Cameron</v>
      </c>
    </row>
    <row r="27" spans="1:23" x14ac:dyDescent="0.25">
      <c r="B27" t="str">
        <f ca="1">INDEX(A2:A18,MATCH(LARGE(B2:B18,4),B2:B18,0))</f>
        <v>Cody</v>
      </c>
      <c r="C27" t="str">
        <f ca="1">INDEX(A2:A18,MATCH(LARGE(C2:C18,4),C2:C18,0))</f>
        <v>Paul</v>
      </c>
      <c r="D27" t="str">
        <f ca="1">INDEX(A2:A18,MATCH(LARGE(D2:D18,4),D2:D18,0))</f>
        <v>Ramses</v>
      </c>
      <c r="E27" t="str">
        <f ca="1">INDEX(A2:A18,MATCH(LARGE(E2:E18,4),E2:E18,0))</f>
        <v>Matt</v>
      </c>
      <c r="F27" t="str">
        <f ca="1">INDEX(A2:A18,MATCH(LARGE(F2:F18,4),F2:F18,0))</f>
        <v>Dominique</v>
      </c>
      <c r="G27" t="str">
        <f ca="1">INDEX(A2:A18,MATCH(LARGE(G2:G18,4),G2:G18,0))</f>
        <v>Christmas</v>
      </c>
      <c r="H27" t="str">
        <f ca="1">INDEX(A2:A18,MATCH(LARGE(H2:H18,4),H2:H18,0))</f>
        <v>Christmas</v>
      </c>
      <c r="I27" t="str">
        <f ca="1">INDEX(A2:A18,MATCH(LARGE(I2:I18,4),I2:I18,0))</f>
        <v>Cody</v>
      </c>
      <c r="J27" t="str">
        <f ca="1">INDEX(A2:A18,MATCH(LARGE(J2:J18,4),J2:J18,0))</f>
        <v>Jason</v>
      </c>
      <c r="K27" t="str">
        <f ca="1">INDEX(A2:A18,MATCH(LARGE(K2:K18,4),K2:K18,0))</f>
        <v>Christmas</v>
      </c>
      <c r="L27" t="str">
        <f ca="1">INDEX(A2:A18,MATCH(LARGE(L2:L18,4),L2:L18,0))</f>
        <v>Jillian</v>
      </c>
      <c r="M27" t="str">
        <f ca="1">INDEX(A2:A18,MATCH(LARGE(M2:M18,4),M2:M18,0))</f>
        <v>Jessica</v>
      </c>
      <c r="N27" t="str">
        <f ca="1">INDEX(A2:A18,MATCH(LARGE(N2:N18,4),N2:N18,0))</f>
        <v>Raven</v>
      </c>
      <c r="O27" t="str">
        <f ca="1">INDEX(A2:A18,MATCH(LARGE(O2:O18,4),O2:O18,0))</f>
        <v>Raven</v>
      </c>
      <c r="P27" t="str">
        <f ca="1">INDEX(A2:A18,MATCH(LARGE(P2:P18,4),P2:P18,0))</f>
        <v>Dominique</v>
      </c>
      <c r="Q27" t="str">
        <f ca="1">INDEX(A2:A18,MATCH(LARGE(Q2:Q18,4),Q2:Q18,0))</f>
        <v>Dominique</v>
      </c>
      <c r="R27" t="str">
        <f ca="1">INDEX(A2:A18,MATCH(LARGE(R2:R18,4),R2:R18,0))</f>
        <v>Elena</v>
      </c>
    </row>
    <row r="28" spans="1:23" x14ac:dyDescent="0.25">
      <c r="B28" t="str">
        <f ca="1">INDEX(A2:A18,MATCH(LARGE(B2:B18,5),B2:B18,0))</f>
        <v>Ramses</v>
      </c>
      <c r="C28" t="str">
        <f ca="1">INDEX(A2:A18,MATCH(LARGE(C2:C18,5),C2:C18,0))</f>
        <v>Jillian</v>
      </c>
      <c r="D28" t="str">
        <f ca="1">INDEX(A2:A18,MATCH(LARGE(D2:D18,5),D2:D18,0))</f>
        <v>Matt</v>
      </c>
      <c r="E28" t="str">
        <f ca="1">INDEX(A2:A18,MATCH(LARGE(E2:E18,5),E2:E18,0))</f>
        <v>Jillian</v>
      </c>
      <c r="F28" t="str">
        <f ca="1">INDEX(A2:A18,MATCH(LARGE(F2:F18,5),F2:F18,0))</f>
        <v>Cody</v>
      </c>
      <c r="G28" t="str">
        <f ca="1">INDEX(A2:A18,MATCH(LARGE(G2:G18,5),G2:G18,0))</f>
        <v>Jessica</v>
      </c>
      <c r="H28" t="str">
        <f ca="1">INDEX(A2:A18,MATCH(LARGE(H2:H18,5),H2:H18,0))</f>
        <v>Jillian</v>
      </c>
      <c r="I28" t="str">
        <f ca="1">INDEX(A2:A18,MATCH(LARGE(I2:I18,5),I2:I18,0))</f>
        <v>Alex</v>
      </c>
      <c r="J28" t="str">
        <f ca="1">INDEX(A2:A18,MATCH(LARGE(J2:J18,5),J2:J18,0))</f>
        <v>Megan</v>
      </c>
      <c r="K28" t="str">
        <f ca="1">INDEX(A2:A18,MATCH(LARGE(K2:K18,5),K2:K18,0))</f>
        <v>Mark</v>
      </c>
      <c r="L28" t="str">
        <f ca="1">INDEX(A2:A18,MATCH(LARGE(L2:L18,5),L2:L18,0))</f>
        <v>Alex</v>
      </c>
      <c r="M28" t="str">
        <f ca="1">INDEX(A2:A18,MATCH(LARGE(M2:M18,5),M2:M18,0))</f>
        <v>Christmas</v>
      </c>
      <c r="N28" t="str">
        <f ca="1">INDEX(A2:A18,MATCH(LARGE(N2:N18,5),N2:N18,0))</f>
        <v>Kevin</v>
      </c>
      <c r="O28" t="str">
        <f ca="1">INDEX(A2:A18,MATCH(LARGE(O2:O18,5),O2:O18,0))</f>
        <v>Cameron</v>
      </c>
      <c r="P28" t="str">
        <f ca="1">INDEX(A2:A18,MATCH(LARGE(P2:P18,5),P2:P18,0))</f>
        <v>Mark</v>
      </c>
      <c r="Q28" t="str">
        <f ca="1">INDEX(A2:A18,MATCH(LARGE(Q2:Q18,5),Q2:Q18,0))</f>
        <v>Cody</v>
      </c>
      <c r="R28" t="str">
        <f ca="1">INDEX(A2:A18,MATCH(LARGE(R2:R18,5),R2:R18,0))</f>
        <v>Jason</v>
      </c>
    </row>
    <row r="29" spans="1:23" x14ac:dyDescent="0.25">
      <c r="B29" t="str">
        <f ca="1">INDEX(A2:A18,MATCH(LARGE(B2:B18,6),B2:B18,0))</f>
        <v>Elena</v>
      </c>
      <c r="C29" t="str">
        <f ca="1">INDEX(A2:A18,MATCH(LARGE(C2:C18,6),C2:C18,0))</f>
        <v>Raven</v>
      </c>
      <c r="D29" t="str">
        <f ca="1">INDEX(A2:A18,MATCH(LARGE(D2:D18,6),D2:D18,0))</f>
        <v>Christmas</v>
      </c>
      <c r="E29" t="str">
        <f ca="1">INDEX(A2:A18,MATCH(LARGE(E2:E18,6),E2:E18,0))</f>
        <v>Cameron</v>
      </c>
      <c r="F29" t="str">
        <f ca="1">INDEX(A2:A18,MATCH(LARGE(F2:F18,6),F2:F18,0))</f>
        <v>Megan</v>
      </c>
      <c r="G29" t="str">
        <f ca="1">INDEX(A2:A18,MATCH(LARGE(G2:G18,6),G2:G18,0))</f>
        <v>Kevin</v>
      </c>
      <c r="H29" t="str">
        <f ca="1">INDEX(A2:A18,MATCH(LARGE(H2:H18,6),H2:H18,0))</f>
        <v>Cody</v>
      </c>
      <c r="I29" t="str">
        <f ca="1">INDEX(A2:A18,MATCH(LARGE(I2:I18,6),I2:I18,0))</f>
        <v>Jillian</v>
      </c>
      <c r="J29" t="str">
        <f ca="1">INDEX(A2:A18,MATCH(LARGE(J2:J18,6),J2:J18,0))</f>
        <v>Cameron</v>
      </c>
      <c r="K29" t="str">
        <f ca="1">INDEX(A2:A18,MATCH(LARGE(K2:K18,6),K2:K18,0))</f>
        <v>Ramses</v>
      </c>
      <c r="L29" t="str">
        <f ca="1">INDEX(A2:A18,MATCH(LARGE(L2:L18,6),L2:L18,0))</f>
        <v>Jessica</v>
      </c>
      <c r="M29" t="str">
        <f ca="1">INDEX(A2:A18,MATCH(LARGE(M2:M18,6),M2:M18,0))</f>
        <v>Jillian</v>
      </c>
      <c r="N29" t="str">
        <f ca="1">INDEX(A2:A18,MATCH(LARGE(N2:N18,6),N2:N18,0))</f>
        <v>Mark</v>
      </c>
      <c r="O29" t="str">
        <f ca="1">INDEX(A2:A18,MATCH(LARGE(O2:O18,6),O2:O18,0))</f>
        <v>Josh</v>
      </c>
      <c r="P29" t="str">
        <f ca="1">INDEX(A2:A18,MATCH(LARGE(P2:P18,6),P2:P18,0))</f>
        <v>Kevin</v>
      </c>
      <c r="Q29" t="str">
        <f ca="1">INDEX(A2:A18,MATCH(LARGE(Q2:Q18,6),Q2:Q18,0))</f>
        <v>Matt</v>
      </c>
      <c r="R29" t="str">
        <f ca="1">INDEX(A2:A18,MATCH(LARGE(R2:R18,6),R2:R18,0))</f>
        <v>Jillian</v>
      </c>
    </row>
    <row r="30" spans="1:23" x14ac:dyDescent="0.25">
      <c r="B30" t="str">
        <f ca="1">INDEX(A2:A18,MATCH(LARGE(B2:B18,7),B2:B18,0))</f>
        <v>Christmas</v>
      </c>
      <c r="C30" t="str">
        <f ca="1">INDEX(A2:A18,MATCH(LARGE(C2:C18,7),C2:C18,0))</f>
        <v>Megan</v>
      </c>
      <c r="D30" t="str">
        <f ca="1">INDEX(A2:A18,MATCH(LARGE(D2:D18,7),D2:D18,0))</f>
        <v>Kevin</v>
      </c>
      <c r="E30" t="str">
        <f ca="1">INDEX(A2:A18,MATCH(LARGE(E2:E18,7),E2:E18,0))</f>
        <v>Ramses</v>
      </c>
      <c r="F30" t="str">
        <f ca="1">INDEX(A2:A18,MATCH(LARGE(F2:F18,7),F2:F18,0))</f>
        <v>Cameron</v>
      </c>
      <c r="G30" t="str">
        <f ca="1">INDEX(A2:A18,MATCH(LARGE(G2:G18,7),G2:G18,0))</f>
        <v>Jason</v>
      </c>
      <c r="H30" t="str">
        <f ca="1">INDEX(A2:A18,MATCH(LARGE(H2:H18,7),H2:H18,0))</f>
        <v>Ramses</v>
      </c>
      <c r="I30" t="str">
        <f ca="1">INDEX(A2:A18,MATCH(LARGE(I2:I18,7),I2:I18,0))</f>
        <v>Cameron</v>
      </c>
      <c r="J30" t="str">
        <f ca="1">INDEX(A2:A18,MATCH(LARGE(J2:J18,7),J2:J18,0))</f>
        <v>Elena</v>
      </c>
      <c r="K30" t="str">
        <f ca="1">INDEX(A2:A18,MATCH(LARGE(K2:K18,7),K2:K18,0))</f>
        <v>Jason</v>
      </c>
      <c r="L30" t="str">
        <f ca="1">INDEX(A2:A18,MATCH(LARGE(L2:L18,7),L2:L18,0))</f>
        <v>Mark</v>
      </c>
      <c r="M30" t="str">
        <f ca="1">INDEX(A2:A18,MATCH(LARGE(M2:M18,7),M2:M18,0))</f>
        <v>Raven</v>
      </c>
      <c r="N30" t="str">
        <f ca="1">INDEX(A2:A18,MATCH(LARGE(N2:N18,7),N2:N18,0))</f>
        <v>Cameron</v>
      </c>
      <c r="O30" t="str">
        <f ca="1">INDEX(A2:A18,MATCH(LARGE(O2:O18,7),O2:O18,0))</f>
        <v>Jillian</v>
      </c>
      <c r="P30" t="str">
        <f ca="1">INDEX(A2:A18,MATCH(LARGE(P2:P18,7),P2:P18,0))</f>
        <v>Jessica</v>
      </c>
      <c r="Q30" t="str">
        <f ca="1">INDEX(A2:A18,MATCH(LARGE(Q2:Q18,7),Q2:Q18,0))</f>
        <v>Jillian</v>
      </c>
      <c r="R30" t="str">
        <f ca="1">INDEX(A2:A18,MATCH(LARGE(R2:R18,7),R2:R18,0))</f>
        <v>Megan</v>
      </c>
    </row>
    <row r="31" spans="1:23" x14ac:dyDescent="0.25">
      <c r="B31" t="str">
        <f ca="1">INDEX(A2:A18,MATCH(LARGE(B2:B18,8),B2:B18,0))</f>
        <v>Cameron</v>
      </c>
      <c r="C31" t="str">
        <f ca="1">INDEX(A2:A18,MATCH(LARGE(C2:C18,8),C2:C18,0))</f>
        <v>Jessica</v>
      </c>
      <c r="D31" t="str">
        <f ca="1">INDEX(A2:A18,MATCH(LARGE(D2:D18,8),D2:D18,0))</f>
        <v>Jessica</v>
      </c>
      <c r="E31" t="str">
        <f ca="1">INDEX(A2:A18,MATCH(LARGE(E2:E18,8),E2:E18,0))</f>
        <v>Alex</v>
      </c>
      <c r="F31" t="str">
        <f ca="1">INDEX(A2:A18,MATCH(LARGE(F2:F18,8),F2:F18,0))</f>
        <v>Josh</v>
      </c>
      <c r="G31" t="str">
        <f ca="1">INDEX(A2:A18,MATCH(LARGE(G2:G18,8),G2:G18,0))</f>
        <v>Jillian</v>
      </c>
      <c r="H31" t="str">
        <f ca="1">INDEX(A2:A18,MATCH(LARGE(H2:H18,8),H2:H18,0))</f>
        <v>Paul</v>
      </c>
      <c r="I31" t="str">
        <f ca="1">INDEX(A2:A18,MATCH(LARGE(I2:I18,8),I2:I18,0))</f>
        <v>Megan</v>
      </c>
      <c r="J31" t="str">
        <f ca="1">INDEX(A2:A18,MATCH(LARGE(J2:J18,8),J2:J18,0))</f>
        <v>Alex</v>
      </c>
      <c r="K31" t="str">
        <f ca="1">INDEX(A2:A18,MATCH(LARGE(K2:K18,8),K2:K18,0))</f>
        <v>Paul</v>
      </c>
      <c r="L31" t="str">
        <f ca="1">INDEX(A2:A18,MATCH(LARGE(L2:L18,8),L2:L18,0))</f>
        <v>Kevin</v>
      </c>
      <c r="M31" t="str">
        <f ca="1">INDEX(A2:A18,MATCH(LARGE(M2:M18,8),M2:M18,0))</f>
        <v>Kevin</v>
      </c>
      <c r="N31" t="str">
        <f ca="1">INDEX(A2:A18,MATCH(LARGE(N2:N18,8),N2:N18,0))</f>
        <v>Cody</v>
      </c>
      <c r="O31" t="str">
        <f ca="1">INDEX(A2:A18,MATCH(LARGE(O2:O18,8),O2:O18,0))</f>
        <v>Kevin</v>
      </c>
      <c r="P31" t="str">
        <f ca="1">INDEX(A2:A18,MATCH(LARGE(P2:P18,8),P2:P18,0))</f>
        <v>Elena</v>
      </c>
      <c r="Q31" t="str">
        <f ca="1">INDEX(A2:A18,MATCH(LARGE(Q2:Q18,8),Q2:Q18,0))</f>
        <v>Megan</v>
      </c>
      <c r="R31" t="str">
        <f ca="1">INDEX(A2:A18,MATCH(LARGE(R2:R18,8),R2:R18,0))</f>
        <v>Ramses</v>
      </c>
    </row>
    <row r="32" spans="1:23" x14ac:dyDescent="0.25">
      <c r="B32" t="str">
        <f ca="1">INDEX(A2:A18,MATCH(LARGE(B2:B18,9),B2:B18,0))</f>
        <v>Alex</v>
      </c>
      <c r="C32" t="str">
        <f ca="1">INDEX(A2:A18,MATCH(LARGE(C2:C18,9),C2:C18,0))</f>
        <v>Matt</v>
      </c>
      <c r="D32" t="str">
        <f ca="1">INDEX(A2:A18,MATCH(LARGE(D2:D18,9),D2:D18,0))</f>
        <v>Jason</v>
      </c>
      <c r="E32" t="str">
        <f ca="1">INDEX(A2:A18,MATCH(LARGE(E2:E18,9),E2:E18,0))</f>
        <v>Josh</v>
      </c>
      <c r="F32" t="str">
        <f ca="1">INDEX(A2:A18,MATCH(LARGE(F2:F18,9),F2:F18,0))</f>
        <v>Paul</v>
      </c>
      <c r="G32" t="str">
        <f ca="1">INDEX(A2:A18,MATCH(LARGE(G2:G18,9),G2:G18,0))</f>
        <v>Elena</v>
      </c>
      <c r="H32" t="str">
        <f ca="1">INDEX(A2:A18,MATCH(LARGE(H2:H18,9),H2:H18,0))</f>
        <v>Mark</v>
      </c>
      <c r="I32" t="str">
        <f ca="1">INDEX(A2:A18,MATCH(LARGE(I2:I18,9),I2:I18,0))</f>
        <v>Jason</v>
      </c>
      <c r="J32" t="str">
        <f ca="1">INDEX(A2:A18,MATCH(LARGE(J2:J18,9),J2:J18,0))</f>
        <v>Kevin</v>
      </c>
      <c r="K32" t="str">
        <f ca="1">INDEX(A2:A18,MATCH(LARGE(K2:K18,9),K2:K18,0))</f>
        <v>Cody</v>
      </c>
      <c r="L32" t="str">
        <f ca="1">INDEX(A2:A18,MATCH(LARGE(L2:L18,9),L2:L18,0))</f>
        <v>Paul</v>
      </c>
      <c r="M32" t="str">
        <f ca="1">INDEX(A2:A18,MATCH(LARGE(M2:M18,9),M2:M18,0))</f>
        <v>Mark</v>
      </c>
      <c r="N32" t="str">
        <f ca="1">INDEX(A2:A18,MATCH(LARGE(N2:N18,9),N2:N18,0))</f>
        <v>Jillian</v>
      </c>
      <c r="O32" t="str">
        <f ca="1">INDEX(A2:A18,MATCH(LARGE(O2:O18,9),O2:O18,0))</f>
        <v>Jessica</v>
      </c>
      <c r="P32" t="str">
        <f ca="1">INDEX(A2:A18,MATCH(LARGE(P2:P18,9),P2:P18,0))</f>
        <v>Paul</v>
      </c>
      <c r="Q32" t="str">
        <f ca="1">INDEX(A2:A18,MATCH(LARGE(Q2:Q18,9),Q2:Q18,0))</f>
        <v>Raven</v>
      </c>
      <c r="R32" t="str">
        <f ca="1">INDEX(A2:A18,MATCH(LARGE(R2:R18,9),R2:R18,0))</f>
        <v>Josh</v>
      </c>
    </row>
    <row r="33" spans="1:22" x14ac:dyDescent="0.25">
      <c r="B33" t="str">
        <f ca="1">INDEX(A2:A18,MATCH(LARGE(B2:B18,10),B2:B18,0))</f>
        <v>Jason</v>
      </c>
      <c r="C33" t="str">
        <f ca="1">INDEX(A2:A18,MATCH(LARGE(C2:C18,10),C2:C18,0))</f>
        <v>Kevin</v>
      </c>
      <c r="D33" t="str">
        <f ca="1">INDEX(A2:A18,MATCH(LARGE(D2:D18,10),D2:D18,0))</f>
        <v>Elena</v>
      </c>
      <c r="E33" t="str">
        <f ca="1">INDEX(A2:A18,MATCH(LARGE(E2:E18,10),E2:E18,0))</f>
        <v>Jessica</v>
      </c>
      <c r="F33" t="str">
        <f ca="1">INDEX(A2:A18,MATCH(LARGE(F2:F18,10),F2:F18,0))</f>
        <v>Ramses</v>
      </c>
      <c r="G33" t="str">
        <f ca="1">INDEX(A2:A18,MATCH(LARGE(G2:G18,10),G2:G18,0))</f>
        <v>Paul</v>
      </c>
      <c r="H33" t="str">
        <f ca="1">INDEX(A2:A18,MATCH(LARGE(H2:H18,10),H2:H18,0))</f>
        <v>Matt</v>
      </c>
      <c r="I33" t="str">
        <f ca="1">INDEX(A2:A18,MATCH(LARGE(I2:I18,10),I2:I18,0))</f>
        <v>Kevin</v>
      </c>
      <c r="J33" t="str">
        <f ca="1">INDEX(A2:A18,MATCH(LARGE(J2:J18,10),J2:J18,0))</f>
        <v>Cody</v>
      </c>
      <c r="K33" t="str">
        <f ca="1">INDEX(A2:A18,MATCH(LARGE(K2:K18,10),K2:K18,0))</f>
        <v>Cameron</v>
      </c>
      <c r="L33" t="str">
        <f ca="1">INDEX(A2:A18,MATCH(LARGE(L2:L18,10),L2:L18,0))</f>
        <v>Cody</v>
      </c>
      <c r="M33" t="str">
        <f ca="1">INDEX(A2:A18,MATCH(LARGE(M2:M18,10),M2:M18,0))</f>
        <v>Paul</v>
      </c>
      <c r="N33" t="str">
        <f ca="1">INDEX(A2:A18,MATCH(LARGE(N2:N18,10),N2:N18,0))</f>
        <v>Ramses</v>
      </c>
      <c r="O33" t="str">
        <f ca="1">INDEX(A2:A18,MATCH(LARGE(O2:O18,10),O2:O18,0))</f>
        <v>Dominique</v>
      </c>
      <c r="P33" t="str">
        <f ca="1">INDEX(A2:A18,MATCH(LARGE(P2:P18,10),P2:P18,0))</f>
        <v>Raven</v>
      </c>
      <c r="Q33" t="str">
        <f ca="1">INDEX(A2:A18,MATCH(LARGE(Q2:Q18,10),Q2:Q18,0))</f>
        <v>Jessica</v>
      </c>
      <c r="R33" t="str">
        <f ca="1">INDEX(A2:A18,MATCH(LARGE(R2:R18,10),R2:R18,0))</f>
        <v>Christmas</v>
      </c>
    </row>
    <row r="34" spans="1:22" x14ac:dyDescent="0.25">
      <c r="B34" t="str">
        <f ca="1">INDEX(A2:A18,MATCH(LARGE(B2:B18,11),B2:B18,0))</f>
        <v>Jillian</v>
      </c>
      <c r="C34" t="str">
        <f ca="1">INDEX(A2:A18,MATCH(LARGE(C2:C18,11),C2:C18,0))</f>
        <v>Alex</v>
      </c>
      <c r="D34" t="str">
        <f ca="1">INDEX(A2:A18,MATCH(LARGE(D2:D18,11),D2:D18,0))</f>
        <v>Mark</v>
      </c>
      <c r="E34" t="str">
        <f ca="1">INDEX(A2:A18,MATCH(LARGE(E2:E18,11),E2:E18,0))</f>
        <v>Elena</v>
      </c>
      <c r="F34" t="str">
        <f ca="1">INDEX(A2:A18,MATCH(LARGE(F2:F18,11),F2:F18,0))</f>
        <v>Kevin</v>
      </c>
      <c r="G34" t="str">
        <f ca="1">INDEX(A2:A18,MATCH(LARGE(G2:G18,11),G2:G18,0))</f>
        <v>Cody</v>
      </c>
      <c r="H34" t="str">
        <f ca="1">INDEX(A2:A18,MATCH(LARGE(H2:H18,11),H2:H18,0))</f>
        <v>Elena</v>
      </c>
      <c r="I34" t="str">
        <f ca="1">INDEX(A2:A18,MATCH(LARGE(I2:I18,11),I2:I18,0))</f>
        <v>Jessica</v>
      </c>
      <c r="J34" t="str">
        <f ca="1">INDEX(A2:A18,MATCH(LARGE(J2:J18,11),J2:J18,0))</f>
        <v>Christmas</v>
      </c>
      <c r="K34" t="str">
        <f ca="1">INDEX(A2:A18,MATCH(LARGE(K2:K18,11),K2:K18,0))</f>
        <v>Matt</v>
      </c>
      <c r="L34" t="str">
        <f ca="1">INDEX(A2:A18,MATCH(LARGE(L2:L18,11),L2:L18,0))</f>
        <v>Josh</v>
      </c>
      <c r="M34" t="str">
        <f ca="1">INDEX(A2:A18,MATCH(LARGE(M2:M18,11),M2:M18,0))</f>
        <v>Jason</v>
      </c>
      <c r="N34" t="str">
        <f ca="1">INDEX(A2:A18,MATCH(LARGE(N2:N18,11),N2:N18,0))</f>
        <v>Jessica</v>
      </c>
      <c r="O34" t="str">
        <f ca="1">INDEX(A2:A18,MATCH(LARGE(O2:O18,11),O2:O18,0))</f>
        <v>Jason</v>
      </c>
      <c r="P34" t="str">
        <f ca="1">INDEX(A2:A18,MATCH(LARGE(P2:P18,11),P2:P18,0))</f>
        <v>Jillian</v>
      </c>
      <c r="Q34" t="str">
        <f ca="1">INDEX(A2:A18,MATCH(LARGE(Q2:Q18,11),Q2:Q18,0))</f>
        <v>Josh</v>
      </c>
      <c r="R34" t="str">
        <f ca="1">INDEX(A2:A18,MATCH(LARGE(R2:R18,11),R2:R18,0))</f>
        <v>Jessica</v>
      </c>
    </row>
    <row r="35" spans="1:22" x14ac:dyDescent="0.25">
      <c r="B35" t="str">
        <f ca="1">INDEX(A2:A18,MATCH(LARGE(B2:B18,12),B2:B18,0))</f>
        <v>Josh</v>
      </c>
      <c r="C35" t="str">
        <f ca="1">INDEX(A2:A18,MATCH(LARGE(C2:C18,12),C2:C18,0))</f>
        <v>Dominique</v>
      </c>
      <c r="D35" t="str">
        <f ca="1">INDEX(A2:A18,MATCH(LARGE(D2:D18,12),D2:D18,0))</f>
        <v>Cody</v>
      </c>
      <c r="E35" t="str">
        <f ca="1">INDEX(A2:A18,MATCH(LARGE(E2:E18,12),E2:E18,0))</f>
        <v>Cody</v>
      </c>
      <c r="F35" t="str">
        <f ca="1">INDEX(A2:A18,MATCH(LARGE(F2:F18,12),F2:F18,0))</f>
        <v>Jessica</v>
      </c>
      <c r="G35" t="str">
        <f ca="1">INDEX(A2:A18,MATCH(LARGE(G2:G18,12),G2:G18,0))</f>
        <v>Matt</v>
      </c>
      <c r="H35" t="str">
        <f ca="1">INDEX(A2:A18,MATCH(LARGE(H2:H18,12),H2:H18,0))</f>
        <v>Jason</v>
      </c>
      <c r="I35" t="str">
        <f ca="1">INDEX(A2:A18,MATCH(LARGE(I2:I18,12),I2:I18,0))</f>
        <v>Raven</v>
      </c>
      <c r="J35" t="str">
        <f ca="1">INDEX(A2:A18,MATCH(LARGE(J2:J18,12),J2:J18,0))</f>
        <v>Josh</v>
      </c>
      <c r="K35" t="str">
        <f ca="1">INDEX(A2:A18,MATCH(LARGE(K2:K18,12),K2:K18,0))</f>
        <v>Alex</v>
      </c>
      <c r="L35" t="str">
        <f ca="1">INDEX(A2:A18,MATCH(LARGE(L2:L18,12),L2:L18,0))</f>
        <v>Elena</v>
      </c>
      <c r="M35" t="str">
        <f ca="1">INDEX(A2:A18,MATCH(LARGE(M2:M18,12),M2:M18,0))</f>
        <v>Megan</v>
      </c>
      <c r="N35" t="str">
        <f ca="1">INDEX(A2:A18,MATCH(LARGE(N2:N18,12),N2:N18,0))</f>
        <v>Paul</v>
      </c>
      <c r="O35" t="str">
        <f ca="1">INDEX(A2:A18,MATCH(LARGE(O2:O18,12),O2:O18,0))</f>
        <v>Paul</v>
      </c>
      <c r="P35" t="str">
        <f ca="1">INDEX(A2:A18,MATCH(LARGE(P2:P18,12),P2:P18,0))</f>
        <v>Alex</v>
      </c>
      <c r="Q35" t="str">
        <f ca="1">INDEX(A2:A18,MATCH(LARGE(Q2:Q18,12),Q2:Q18,0))</f>
        <v>Christmas</v>
      </c>
      <c r="R35" t="str">
        <f ca="1">INDEX(A2:A18,MATCH(LARGE(R2:R18,12),R2:R18,0))</f>
        <v>Raven</v>
      </c>
    </row>
    <row r="36" spans="1:22" x14ac:dyDescent="0.25">
      <c r="B36" t="str">
        <f ca="1">INDEX(A2:A18,MATCH(LARGE(B2:B18,13),B2:B18,0))</f>
        <v>Matt</v>
      </c>
      <c r="C36" t="str">
        <f ca="1">INDEX(A2:A18,MATCH(LARGE(C2:C18,13),C2:C18,0))</f>
        <v>Mark</v>
      </c>
      <c r="D36" t="str">
        <f ca="1">INDEX(A2:A18,MATCH(LARGE(D2:D18,13),D2:D18,0))</f>
        <v>Dominique</v>
      </c>
      <c r="E36" t="str">
        <f ca="1">INDEX(A2:A18,MATCH(LARGE(E2:E18,13),E2:E18,0))</f>
        <v>Dominique</v>
      </c>
      <c r="F36" t="str">
        <f ca="1">INDEX(A2:A18,MATCH(LARGE(F2:F18,13),F2:F18,0))</f>
        <v>Mark</v>
      </c>
      <c r="G36" t="str">
        <f ca="1">INDEX(A2:A18,MATCH(LARGE(G2:G18,13),G2:G18,0))</f>
        <v>Cameron</v>
      </c>
      <c r="H36" t="str">
        <f ca="1">INDEX(A2:A18,MATCH(LARGE(H2:H18,13),H2:H18,0))</f>
        <v>Josh</v>
      </c>
      <c r="I36" t="str">
        <f ca="1">INDEX(A2:A18,MATCH(LARGE(I2:I18,13),I2:I18,0))</f>
        <v>Mark</v>
      </c>
      <c r="J36" t="str">
        <f ca="1">INDEX(A2:A18,MATCH(LARGE(J2:J18,13),J2:J18,0))</f>
        <v>Mark</v>
      </c>
      <c r="K36" t="str">
        <f ca="1">INDEX(A2:A18,MATCH(LARGE(K2:K18,13),K2:K18,0))</f>
        <v>Megan</v>
      </c>
      <c r="L36" t="str">
        <f ca="1">INDEX(A2:A18,MATCH(LARGE(L2:L18,13),L2:L18,0))</f>
        <v>Raven</v>
      </c>
      <c r="M36" t="str">
        <f ca="1">INDEX(A2:A18,MATCH(LARGE(M2:M18,13),M2:M18,0))</f>
        <v>Dominique</v>
      </c>
      <c r="N36" t="str">
        <f ca="1">INDEX(A2:A18,MATCH(LARGE(N2:N18,13),N2:N18,0))</f>
        <v>Elena</v>
      </c>
      <c r="O36" t="str">
        <f ca="1">INDEX(A2:A18,MATCH(LARGE(O2:O18,13),O2:O18,0))</f>
        <v>Mark</v>
      </c>
      <c r="P36" t="str">
        <f ca="1">INDEX(A2:A18,MATCH(LARGE(P2:P18,13),P2:P18,0))</f>
        <v>Jason</v>
      </c>
      <c r="Q36" t="str">
        <f ca="1">INDEX(A2:A18,MATCH(LARGE(Q2:Q18,13),Q2:Q18,0))</f>
        <v>Mark</v>
      </c>
      <c r="R36" t="str">
        <f ca="1">INDEX(A2:A18,MATCH(LARGE(R2:R18,13),R2:R18,0))</f>
        <v>Cody</v>
      </c>
    </row>
    <row r="37" spans="1:22" x14ac:dyDescent="0.25">
      <c r="B37" t="str">
        <f ca="1">INDEX(A2:A18,MATCH(LARGE(B2:B18,14),B2:B18,0))</f>
        <v>Mark</v>
      </c>
      <c r="C37" t="str">
        <f ca="1">INDEX(A2:A18,MATCH(LARGE(C2:C18,14),C2:C18,0))</f>
        <v>Elena</v>
      </c>
      <c r="D37" t="str">
        <f ca="1">INDEX(A2:A18,MATCH(LARGE(D2:D18,14),D2:D18,0))</f>
        <v>Josh</v>
      </c>
      <c r="E37" t="str">
        <f ca="1">INDEX(A2:A18,MATCH(LARGE(E2:E18,14),E2:E18,0))</f>
        <v>Raven</v>
      </c>
      <c r="F37" t="str">
        <f ca="1">INDEX(A2:A18,MATCH(LARGE(F2:F18,14),F2:F18,0))</f>
        <v>Jillian</v>
      </c>
      <c r="G37" t="str">
        <f ca="1">INDEX(A2:A18,MATCH(LARGE(G2:G18,14),G2:G18,0))</f>
        <v>Ramses</v>
      </c>
      <c r="H37" t="str">
        <f ca="1">INDEX(A2:A18,MATCH(LARGE(H2:H18,14),H2:H18,0))</f>
        <v>Jessica</v>
      </c>
      <c r="I37" t="str">
        <f ca="1">INDEX(A2:A18,MATCH(LARGE(I2:I18,14),I2:I18,0))</f>
        <v>Christmas</v>
      </c>
      <c r="J37" t="str">
        <f ca="1">INDEX(A2:A18,MATCH(LARGE(J2:J18,14),J2:J18,0))</f>
        <v>Dominique</v>
      </c>
      <c r="K37" t="str">
        <f ca="1">INDEX(A2:A18,MATCH(LARGE(K2:K18,14),K2:K18,0))</f>
        <v>Dominique</v>
      </c>
      <c r="L37" t="str">
        <f ca="1">INDEX(A2:A18,MATCH(LARGE(L2:L18,14),L2:L18,0))</f>
        <v>Christmas</v>
      </c>
      <c r="M37" t="str">
        <f ca="1">INDEX(A2:A18,MATCH(LARGE(M2:M18,14),M2:M18,0))</f>
        <v>Cameron</v>
      </c>
      <c r="N37" t="str">
        <f ca="1">INDEX(A2:A18,MATCH(LARGE(N2:N18,14),N2:N18,0))</f>
        <v>Alex</v>
      </c>
      <c r="O37" t="str">
        <f ca="1">INDEX(A2:A18,MATCH(LARGE(O2:O18,14),O2:O18,0))</f>
        <v>Alex</v>
      </c>
      <c r="P37" t="str">
        <f ca="1">INDEX(A2:A18,MATCH(LARGE(P2:P18,14),P2:P18,0))</f>
        <v>Cameron</v>
      </c>
      <c r="Q37" t="str">
        <f ca="1">INDEX(A2:A18,MATCH(LARGE(Q2:Q18,14),Q2:Q18,0))</f>
        <v>Jason</v>
      </c>
      <c r="R37" t="str">
        <f ca="1">INDEX(A2:A18,MATCH(LARGE(R2:R18,14),R2:R18,0))</f>
        <v>Dominique</v>
      </c>
    </row>
    <row r="38" spans="1:22" x14ac:dyDescent="0.25">
      <c r="B38" t="str">
        <f ca="1">INDEX(A2:A18,MATCH(LARGE(B2:B18,15),B2:B18,0))</f>
        <v>Megan</v>
      </c>
      <c r="C38" t="str">
        <f ca="1">INDEX(A2:A18,MATCH(LARGE(C2:C18,15),C2:C18,0))</f>
        <v>Cody</v>
      </c>
      <c r="D38" t="str">
        <f ca="1">INDEX(A2:A18,MATCH(LARGE(D2:D18,15),D2:D18,0))</f>
        <v>Cameron</v>
      </c>
      <c r="E38" t="str">
        <f ca="1">INDEX(A2:A18,MATCH(LARGE(E2:E18,15),E2:E18,0))</f>
        <v>Mark</v>
      </c>
      <c r="F38" t="str">
        <f ca="1">INDEX(A2:A18,MATCH(LARGE(F2:F18,15),F2:F18,0))</f>
        <v>Raven</v>
      </c>
      <c r="G38" t="str">
        <f ca="1">INDEX(A2:A18,MATCH(LARGE(G2:G18,15),G2:G18,0))</f>
        <v>Josh</v>
      </c>
      <c r="H38" t="str">
        <f ca="1">INDEX(A2:A18,MATCH(LARGE(H2:H18,15),H2:H18,0))</f>
        <v>Raven</v>
      </c>
      <c r="I38" t="str">
        <f ca="1">INDEX(A2:A18,MATCH(LARGE(I2:I18,15),I2:I18,0))</f>
        <v>Paul</v>
      </c>
      <c r="J38" t="str">
        <f ca="1">INDEX(A2:A18,MATCH(LARGE(J2:J18,15),J2:J18,0))</f>
        <v>Raven</v>
      </c>
      <c r="K38" t="str">
        <f ca="1">INDEX(A2:A18,MATCH(LARGE(K2:K18,15),K2:K18,0))</f>
        <v>Josh</v>
      </c>
      <c r="L38" t="str">
        <f ca="1">INDEX(A2:A18,MATCH(LARGE(L2:L18,15),L2:L18,0))</f>
        <v>Cameron</v>
      </c>
      <c r="M38" t="str">
        <f ca="1">INDEX(A2:A18,MATCH(LARGE(M2:M18,15),M2:M18,0))</f>
        <v>Ramses</v>
      </c>
      <c r="N38" t="str">
        <f ca="1">INDEX(A2:A18,MATCH(LARGE(N2:N18,15),N2:N18,0))</f>
        <v>Megan</v>
      </c>
      <c r="O38" t="str">
        <f ca="1">INDEX(A2:A18,MATCH(LARGE(O2:O18,15),O2:O18,0))</f>
        <v>Megan</v>
      </c>
      <c r="P38" t="str">
        <f ca="1">INDEX(A2:A18,MATCH(LARGE(P2:P18,15),P2:P18,0))</f>
        <v>Josh</v>
      </c>
      <c r="Q38" t="str">
        <f ca="1">INDEX(A2:A18,MATCH(LARGE(Q2:Q18,15),Q2:Q18,0))</f>
        <v>Elena</v>
      </c>
      <c r="R38" t="str">
        <f ca="1">INDEX(A2:A18,MATCH(LARGE(R2:R18,15),R2:R18,0))</f>
        <v>Paul</v>
      </c>
    </row>
    <row r="39" spans="1:22" x14ac:dyDescent="0.25">
      <c r="B39" t="str">
        <f ca="1">INDEX(A2:A18,MATCH(LARGE(B2:B18,16),B2:B18,0))</f>
        <v>Kevin</v>
      </c>
      <c r="C39" t="str">
        <f ca="1">INDEX(A2:A18,MATCH(LARGE(C2:C18,16),C2:C18,0))</f>
        <v>Cameron</v>
      </c>
      <c r="D39" t="str">
        <f ca="1">INDEX(A2:A18,MATCH(LARGE(D2:D18,16),D2:D18,0))</f>
        <v>Alex</v>
      </c>
      <c r="E39" t="str">
        <f ca="1">INDEX(A2:A18,MATCH(LARGE(E2:E18,16),E2:E18,0))</f>
        <v>Christmas</v>
      </c>
      <c r="F39" t="str">
        <f ca="1">INDEX(A2:A18,MATCH(LARGE(F2:F18,16),F2:F18,0))</f>
        <v>Elena</v>
      </c>
      <c r="G39" t="str">
        <f ca="1">INDEX(A2:A18,MATCH(LARGE(G2:G18,16),G2:G18,0))</f>
        <v>Raven</v>
      </c>
      <c r="H39" t="str">
        <f ca="1">INDEX(A2:A18,MATCH(LARGE(H2:H18,16),H2:H18,0))</f>
        <v>Alex</v>
      </c>
      <c r="I39" t="str">
        <f ca="1">INDEX(A2:A18,MATCH(LARGE(I2:I18,16),I2:I18,0))</f>
        <v>Elena</v>
      </c>
      <c r="J39" t="str">
        <f ca="1">INDEX(A2:A18,MATCH(LARGE(J2:J18,16),J2:J18,0))</f>
        <v>Jessica</v>
      </c>
      <c r="K39" t="str">
        <f ca="1">INDEX(A2:A18,MATCH(LARGE(K2:K18,16),K2:K18,0))</f>
        <v>Jillian</v>
      </c>
      <c r="L39" t="str">
        <f ca="1">INDEX(A2:A18,MATCH(LARGE(L2:L18,16),L2:L18,0))</f>
        <v>Dominique</v>
      </c>
      <c r="M39" t="str">
        <f ca="1">INDEX(A2:A18,MATCH(LARGE(M2:M18,16),M2:M18,0))</f>
        <v>Matt</v>
      </c>
      <c r="N39" t="str">
        <f ca="1">INDEX(A2:A18,MATCH(LARGE(N2:N18,16),N2:N18,0))</f>
        <v>Jason</v>
      </c>
      <c r="O39" t="str">
        <f ca="1">INDEX(A2:A18,MATCH(LARGE(O2:O18,16),O2:O18,0))</f>
        <v>Ramses</v>
      </c>
      <c r="P39" t="str">
        <f ca="1">INDEX(A2:A18,MATCH(LARGE(P2:P18,16),P2:P18,0))</f>
        <v>Megan</v>
      </c>
      <c r="Q39" t="str">
        <f ca="1">INDEX(A2:A18,MATCH(LARGE(Q2:Q18,16),Q2:Q18,0))</f>
        <v>Paul</v>
      </c>
      <c r="R39" t="str">
        <f ca="1">INDEX(A2:A18,MATCH(LARGE(R2:R18,16),R2:R18,0))</f>
        <v>Kevin</v>
      </c>
    </row>
    <row r="40" spans="1:22" x14ac:dyDescent="0.25">
      <c r="B40" t="str">
        <f ca="1">INDEX(A2:A18,MATCH(LARGE(B2:B18,17),B2:B18,0))</f>
        <v>Paul</v>
      </c>
      <c r="C40" t="str">
        <f ca="1">INDEX(A2:A18,MATCH(LARGE(C2:C18,17),C2:C18,0))</f>
        <v>Jason</v>
      </c>
      <c r="D40" t="str">
        <f ca="1">INDEX(A2:A18,MATCH(LARGE(D2:D18,17),D2:D18,0))</f>
        <v>Raven</v>
      </c>
      <c r="E40" t="str">
        <f ca="1">INDEX(A2:A18,MATCH(LARGE(E2:E18,17),E2:E18,0))</f>
        <v>Kevin</v>
      </c>
      <c r="F40" t="str">
        <f ca="1">INDEX(A2:A18,MATCH(LARGE(F2:F18,17),F2:F18,0))</f>
        <v>Alex</v>
      </c>
      <c r="G40" t="str">
        <f ca="1">INDEX(A2:A18,MATCH(LARGE(G2:G18,17),G2:G18,0))</f>
        <v>Megan</v>
      </c>
      <c r="H40" t="str">
        <f ca="1">INDEX(A2:A18,MATCH(LARGE(H2:H18,17),H2:H18,0))</f>
        <v>Megan</v>
      </c>
      <c r="I40" t="str">
        <f ca="1">INDEX(A2:A18,MATCH(LARGE(I2:I18,17),I2:I18,0))</f>
        <v>Dominique</v>
      </c>
      <c r="J40" t="str">
        <f ca="1">INDEX(A2:A18,MATCH(LARGE(J2:J18,17),J2:J18,0))</f>
        <v>Matt</v>
      </c>
      <c r="K40" t="str">
        <f ca="1">INDEX(A2:A18,MATCH(LARGE(K2:K18,17),K2:K18,0))</f>
        <v>Kevin</v>
      </c>
      <c r="L40" t="str">
        <f ca="1">INDEX(A2:A18,MATCH(LARGE(L2:L18,17),L2:L18,0))</f>
        <v>Ramses</v>
      </c>
      <c r="M40" t="str">
        <f ca="1">INDEX(A2:A18,MATCH(LARGE(M2:M18,17),M2:M18,0))</f>
        <v>Josh</v>
      </c>
      <c r="N40" t="str">
        <f ca="1">INDEX(A2:A18,MATCH(LARGE(N2:N18,17),N2:N18,0))</f>
        <v>Josh</v>
      </c>
      <c r="O40" t="str">
        <f ca="1">INDEX(A2:A18,MATCH(LARGE(O2:O18,17),O2:O18,0))</f>
        <v>Christmas</v>
      </c>
      <c r="P40" t="str">
        <f ca="1">INDEX(A2:A18,MATCH(LARGE(P2:P18,17),P2:P18,0))</f>
        <v>Cody</v>
      </c>
      <c r="Q40" t="str">
        <f ca="1">INDEX(A2:A18,MATCH(LARGE(Q2:Q18,17),Q2:Q18,0))</f>
        <v>Ramses</v>
      </c>
      <c r="R40" t="str">
        <f ca="1">INDEX(A2:A18,MATCH(LARGE(R2:R18,17),R2:R18,0))</f>
        <v>Matt</v>
      </c>
    </row>
    <row r="41" spans="1:22" x14ac:dyDescent="0.25">
      <c r="A41" s="13"/>
      <c r="B41" s="13"/>
      <c r="C41" s="13"/>
      <c r="D41" s="13"/>
      <c r="E41" s="13"/>
      <c r="F41" s="13"/>
      <c r="G41" s="13"/>
      <c r="H41" s="13"/>
      <c r="I41" s="13"/>
      <c r="J41" s="13"/>
      <c r="K41" s="13"/>
      <c r="L41" s="13"/>
      <c r="M41" s="13"/>
      <c r="N41" s="13"/>
      <c r="O41" s="13"/>
      <c r="P41" s="13"/>
      <c r="Q41" s="13"/>
      <c r="R41" s="13"/>
      <c r="S41" s="13"/>
      <c r="T41" s="13"/>
      <c r="U41" s="13"/>
      <c r="V41" s="13"/>
    </row>
    <row r="42" spans="1:22" x14ac:dyDescent="0.25">
      <c r="A42" s="13"/>
      <c r="B42" s="13" t="str">
        <f t="shared" ref="B42:R42" si="3">B1</f>
        <v>Raven</v>
      </c>
      <c r="C42" s="13" t="str">
        <f t="shared" si="3"/>
        <v>Ramses</v>
      </c>
      <c r="D42" s="13" t="str">
        <f t="shared" si="3"/>
        <v>Paul</v>
      </c>
      <c r="E42" s="13" t="str">
        <f t="shared" si="3"/>
        <v>Megan</v>
      </c>
      <c r="F42" s="13" t="str">
        <f t="shared" si="3"/>
        <v>Matt</v>
      </c>
      <c r="G42" s="13" t="str">
        <f t="shared" si="3"/>
        <v>Mark</v>
      </c>
      <c r="H42" s="13" t="str">
        <f t="shared" si="3"/>
        <v>Kevin</v>
      </c>
      <c r="I42" s="13" t="str">
        <f t="shared" si="3"/>
        <v>Josh</v>
      </c>
      <c r="J42" s="13" t="str">
        <f t="shared" si="3"/>
        <v>Jillian</v>
      </c>
      <c r="K42" s="13" t="str">
        <f t="shared" si="3"/>
        <v>Jessica</v>
      </c>
      <c r="L42" s="13" t="str">
        <f t="shared" si="3"/>
        <v>Jason</v>
      </c>
      <c r="M42" s="13" t="str">
        <f t="shared" si="3"/>
        <v>Elena</v>
      </c>
      <c r="N42" s="13" t="str">
        <f t="shared" si="3"/>
        <v>Dominique</v>
      </c>
      <c r="O42" s="13" t="str">
        <f t="shared" si="3"/>
        <v>Cody</v>
      </c>
      <c r="P42" s="13" t="str">
        <f t="shared" si="3"/>
        <v>Christmas</v>
      </c>
      <c r="Q42" s="13" t="str">
        <f t="shared" si="3"/>
        <v>Cameron</v>
      </c>
      <c r="R42" s="13" t="str">
        <f t="shared" si="3"/>
        <v>Alex</v>
      </c>
      <c r="S42" s="13"/>
      <c r="T42" s="13"/>
      <c r="U42" s="13"/>
      <c r="V42" s="13"/>
    </row>
    <row r="43" spans="1:22" x14ac:dyDescent="0.25">
      <c r="A43" s="13" t="str">
        <f ca="1">Game!G140</f>
        <v>Dominique</v>
      </c>
      <c r="B43">
        <f t="shared" ref="B43:C45" ca="1" si="4">INDEX(B$2:B$18,MATCH($A43,$A$2:$A$18,0))</f>
        <v>82.001622786281857</v>
      </c>
      <c r="C43">
        <f t="shared" ca="1" si="4"/>
        <v>29.432924068492881</v>
      </c>
      <c r="D43">
        <f t="shared" ref="D43:R45" ca="1" si="5">INDEX(D$2:D$18,MATCH($A43,$A$2:$A$18,0))</f>
        <v>18.022345252469293</v>
      </c>
      <c r="E43">
        <f t="shared" ca="1" si="5"/>
        <v>10.295800985744208</v>
      </c>
      <c r="F43">
        <f t="shared" ca="1" si="5"/>
        <v>82.401953074585833</v>
      </c>
      <c r="G43">
        <f t="shared" ca="1" si="5"/>
        <v>73.102607973869453</v>
      </c>
      <c r="H43">
        <f t="shared" ca="1" si="5"/>
        <v>74.428962462310309</v>
      </c>
      <c r="I43">
        <f t="shared" ca="1" si="5"/>
        <v>0.1796995943016369</v>
      </c>
      <c r="J43">
        <f t="shared" ca="1" si="5"/>
        <v>30.350159122876136</v>
      </c>
      <c r="K43">
        <f t="shared" ca="1" si="5"/>
        <v>27.303439841764643</v>
      </c>
      <c r="L43">
        <f t="shared" ca="1" si="5"/>
        <v>7.2239677536454394</v>
      </c>
      <c r="M43">
        <f t="shared" ca="1" si="5"/>
        <v>16.034889263862759</v>
      </c>
      <c r="N43">
        <f t="shared" ca="1" si="5"/>
        <v>101</v>
      </c>
      <c r="O43">
        <f t="shared" ca="1" si="5"/>
        <v>44.239600096515559</v>
      </c>
      <c r="P43">
        <f t="shared" ca="1" si="5"/>
        <v>82.25516332903311</v>
      </c>
      <c r="Q43">
        <f t="shared" ca="1" si="5"/>
        <v>70.160437781869334</v>
      </c>
      <c r="R43">
        <f t="shared" ca="1" si="5"/>
        <v>15.194432622208032</v>
      </c>
      <c r="S43" s="13"/>
      <c r="T43" s="13"/>
      <c r="U43" s="13"/>
      <c r="V43" s="13"/>
    </row>
    <row r="44" spans="1:22" x14ac:dyDescent="0.25">
      <c r="A44" s="13" t="str">
        <f ca="1">Game!H140</f>
        <v>Elena</v>
      </c>
      <c r="B44">
        <f t="shared" ca="1" si="4"/>
        <v>56.2767320805171</v>
      </c>
      <c r="C44">
        <f t="shared" ca="1" si="4"/>
        <v>12.228426676996929</v>
      </c>
      <c r="D44">
        <f t="shared" ca="1" si="5"/>
        <v>41.015339216176564</v>
      </c>
      <c r="E44">
        <f t="shared" ca="1" si="5"/>
        <v>22.384831157245035</v>
      </c>
      <c r="F44">
        <f t="shared" ca="1" si="5"/>
        <v>5.1215439768423332</v>
      </c>
      <c r="G44">
        <f t="shared" ca="1" si="5"/>
        <v>42.203489365903273</v>
      </c>
      <c r="H44">
        <f t="shared" ca="1" si="5"/>
        <v>44.172127759170287</v>
      </c>
      <c r="I44">
        <f t="shared" ca="1" si="5"/>
        <v>1.1992803304611785</v>
      </c>
      <c r="J44">
        <f t="shared" ca="1" si="5"/>
        <v>61.021456882754954</v>
      </c>
      <c r="K44">
        <f t="shared" ca="1" si="5"/>
        <v>70.399092792834807</v>
      </c>
      <c r="L44">
        <f t="shared" ca="1" si="5"/>
        <v>30.397908622093482</v>
      </c>
      <c r="M44">
        <f t="shared" ca="1" si="5"/>
        <v>101</v>
      </c>
      <c r="N44">
        <f t="shared" ca="1" si="5"/>
        <v>16.034889263862759</v>
      </c>
      <c r="O44">
        <f t="shared" ca="1" si="5"/>
        <v>82.363856292644456</v>
      </c>
      <c r="P44">
        <f t="shared" ca="1" si="5"/>
        <v>63.422646957515994</v>
      </c>
      <c r="Q44">
        <f t="shared" ca="1" si="5"/>
        <v>12.409183957135806</v>
      </c>
      <c r="R44">
        <f t="shared" ca="1" si="5"/>
        <v>71.225585308804355</v>
      </c>
      <c r="S44" s="13"/>
      <c r="T44" s="13"/>
      <c r="U44" s="13"/>
      <c r="V44" s="13"/>
    </row>
    <row r="45" spans="1:22" x14ac:dyDescent="0.25">
      <c r="A45" s="13" t="str">
        <f ca="1">Game!I140</f>
        <v>Josh</v>
      </c>
      <c r="B45">
        <f t="shared" ca="1" si="4"/>
        <v>16.322321659313264</v>
      </c>
      <c r="C45">
        <f t="shared" ca="1" si="4"/>
        <v>74.254574277272255</v>
      </c>
      <c r="D45">
        <f t="shared" ca="1" si="5"/>
        <v>12.100603246962368</v>
      </c>
      <c r="E45">
        <f t="shared" ca="1" si="5"/>
        <v>39.032209215594364</v>
      </c>
      <c r="F45">
        <f t="shared" ca="1" si="5"/>
        <v>68.143352648752639</v>
      </c>
      <c r="G45">
        <f t="shared" ca="1" si="5"/>
        <v>15.422138284256448</v>
      </c>
      <c r="H45">
        <f t="shared" ca="1" si="5"/>
        <v>29.453020126957629</v>
      </c>
      <c r="I45">
        <f t="shared" ca="1" si="5"/>
        <v>101</v>
      </c>
      <c r="J45">
        <f t="shared" ca="1" si="5"/>
        <v>43.203446070435945</v>
      </c>
      <c r="K45">
        <f t="shared" ca="1" si="5"/>
        <v>27.107808049853908</v>
      </c>
      <c r="L45">
        <f t="shared" ca="1" si="5"/>
        <v>36.113202703490856</v>
      </c>
      <c r="M45">
        <f t="shared" ca="1" si="5"/>
        <v>1.1992803304611785</v>
      </c>
      <c r="N45">
        <f t="shared" ca="1" si="5"/>
        <v>0.1796995943016369</v>
      </c>
      <c r="O45">
        <f t="shared" ca="1" si="5"/>
        <v>68.054883665149632</v>
      </c>
      <c r="P45">
        <f t="shared" ca="1" si="5"/>
        <v>15.17715993671249</v>
      </c>
      <c r="Q45">
        <f t="shared" ca="1" si="5"/>
        <v>41.253573787864298</v>
      </c>
      <c r="R45">
        <f t="shared" ca="1" si="5"/>
        <v>43.418986695772595</v>
      </c>
      <c r="S45" s="13"/>
      <c r="T45" s="13"/>
      <c r="U45" s="13"/>
      <c r="V45" s="13"/>
    </row>
    <row r="46" spans="1:22" x14ac:dyDescent="0.25">
      <c r="A46" s="13"/>
      <c r="B46" t="str">
        <f ca="1">INDEX(A43:A45,MATCH(SMALL(B43:B45,1),B43:B45,0))</f>
        <v>Josh</v>
      </c>
      <c r="C46" t="str">
        <f ca="1">INDEX($A43:$A45,MATCH(SMALL(C43:C45,1),C43:C45,0))</f>
        <v>Elena</v>
      </c>
      <c r="D46" t="str">
        <f t="shared" ref="D46:R46" ca="1" si="6">INDEX($A43:$A45,MATCH(SMALL(D43:D45,1),D43:D45,0))</f>
        <v>Josh</v>
      </c>
      <c r="E46" t="str">
        <f t="shared" ca="1" si="6"/>
        <v>Dominique</v>
      </c>
      <c r="F46" t="str">
        <f t="shared" ca="1" si="6"/>
        <v>Elena</v>
      </c>
      <c r="G46" t="str">
        <f t="shared" ca="1" si="6"/>
        <v>Josh</v>
      </c>
      <c r="H46" t="str">
        <f t="shared" ca="1" si="6"/>
        <v>Josh</v>
      </c>
      <c r="I46" t="str">
        <f t="shared" ca="1" si="6"/>
        <v>Dominique</v>
      </c>
      <c r="J46" t="str">
        <f t="shared" ca="1" si="6"/>
        <v>Dominique</v>
      </c>
      <c r="K46" t="str">
        <f t="shared" ca="1" si="6"/>
        <v>Josh</v>
      </c>
      <c r="L46" t="str">
        <f t="shared" ca="1" si="6"/>
        <v>Dominique</v>
      </c>
      <c r="M46" t="str">
        <f t="shared" ca="1" si="6"/>
        <v>Josh</v>
      </c>
      <c r="N46" t="str">
        <f t="shared" ca="1" si="6"/>
        <v>Josh</v>
      </c>
      <c r="O46" t="str">
        <f t="shared" ca="1" si="6"/>
        <v>Dominique</v>
      </c>
      <c r="P46" t="str">
        <f t="shared" ca="1" si="6"/>
        <v>Josh</v>
      </c>
      <c r="Q46" t="str">
        <f t="shared" ca="1" si="6"/>
        <v>Elena</v>
      </c>
      <c r="R46" t="str">
        <f t="shared" ca="1" si="6"/>
        <v>Dominique</v>
      </c>
      <c r="S46" s="13"/>
      <c r="T46" s="13"/>
      <c r="U46" s="13"/>
      <c r="V46" s="13"/>
    </row>
    <row r="47" spans="1:22" x14ac:dyDescent="0.25">
      <c r="A47" s="13"/>
      <c r="B47" s="13"/>
      <c r="C47" s="13"/>
      <c r="D47" s="13"/>
      <c r="E47" s="13"/>
      <c r="F47" s="13"/>
      <c r="G47" s="13"/>
      <c r="H47" s="13"/>
      <c r="I47" s="13"/>
      <c r="J47" s="13"/>
      <c r="K47" s="13"/>
      <c r="L47" s="13"/>
      <c r="M47" s="13"/>
      <c r="N47" s="13"/>
      <c r="O47" s="13"/>
      <c r="P47" s="13"/>
      <c r="Q47" s="13"/>
      <c r="R47" s="13"/>
      <c r="S47" s="13"/>
      <c r="T47" s="13"/>
      <c r="U47" s="13"/>
      <c r="V47" s="13"/>
    </row>
    <row r="48" spans="1:22" x14ac:dyDescent="0.25">
      <c r="A48" s="13" t="str">
        <f ca="1">Game!G165</f>
        <v>Dominique</v>
      </c>
      <c r="B48" s="13" t="str">
        <f t="shared" ref="B48:R48" ca="1" si="7">IF($A$48=B24,"",B24)</f>
        <v>Raven</v>
      </c>
      <c r="C48" s="13" t="str">
        <f t="shared" ca="1" si="7"/>
        <v>Ramses</v>
      </c>
      <c r="D48" s="13" t="str">
        <f t="shared" ca="1" si="7"/>
        <v>Paul</v>
      </c>
      <c r="E48" s="13" t="str">
        <f t="shared" ca="1" si="7"/>
        <v>Megan</v>
      </c>
      <c r="F48" s="13" t="str">
        <f t="shared" ca="1" si="7"/>
        <v>Matt</v>
      </c>
      <c r="G48" s="13" t="str">
        <f t="shared" ca="1" si="7"/>
        <v>Mark</v>
      </c>
      <c r="H48" s="13" t="str">
        <f t="shared" ca="1" si="7"/>
        <v>Kevin</v>
      </c>
      <c r="I48" s="13" t="str">
        <f t="shared" ca="1" si="7"/>
        <v>Josh</v>
      </c>
      <c r="J48" s="13" t="str">
        <f t="shared" ca="1" si="7"/>
        <v>Jillian</v>
      </c>
      <c r="K48" s="13" t="str">
        <f t="shared" ca="1" si="7"/>
        <v>Jessica</v>
      </c>
      <c r="L48" s="13" t="str">
        <f t="shared" ca="1" si="7"/>
        <v>Jason</v>
      </c>
      <c r="M48" s="13" t="str">
        <f t="shared" ca="1" si="7"/>
        <v>Elena</v>
      </c>
      <c r="N48" s="13" t="str">
        <f t="shared" ca="1" si="7"/>
        <v/>
      </c>
      <c r="O48" s="13" t="str">
        <f t="shared" ca="1" si="7"/>
        <v>Cody</v>
      </c>
      <c r="P48" s="13" t="str">
        <f t="shared" ca="1" si="7"/>
        <v>Christmas</v>
      </c>
      <c r="Q48" s="13" t="str">
        <f t="shared" ca="1" si="7"/>
        <v>Cameron</v>
      </c>
      <c r="R48" s="13" t="str">
        <f t="shared" ca="1" si="7"/>
        <v>Alex</v>
      </c>
      <c r="S48" s="13"/>
      <c r="T48" s="13"/>
      <c r="U48" s="13"/>
      <c r="V48" s="13"/>
    </row>
    <row r="49" spans="1:22" x14ac:dyDescent="0.25">
      <c r="A49" s="13"/>
      <c r="B49" s="13" t="str">
        <f t="shared" ref="B49:R49" ca="1" si="8">IF(B48="","",IF(B25=$A$48,B26,B25))</f>
        <v>Jessica</v>
      </c>
      <c r="C49" s="13" t="str">
        <f t="shared" ca="1" si="8"/>
        <v>Christmas</v>
      </c>
      <c r="D49" s="13" t="str">
        <f t="shared" ca="1" si="8"/>
        <v>Megan</v>
      </c>
      <c r="E49" s="13" t="str">
        <f t="shared" ca="1" si="8"/>
        <v>Jason</v>
      </c>
      <c r="F49" s="13" t="str">
        <f t="shared" ca="1" si="8"/>
        <v>Christmas</v>
      </c>
      <c r="G49" s="13" t="str">
        <f t="shared" ca="1" si="8"/>
        <v>Alex</v>
      </c>
      <c r="H49" s="13" t="str">
        <f t="shared" ca="1" si="8"/>
        <v>Cameron</v>
      </c>
      <c r="I49" s="13" t="str">
        <f t="shared" ca="1" si="8"/>
        <v>Ramses</v>
      </c>
      <c r="J49" s="13" t="str">
        <f t="shared" ca="1" si="8"/>
        <v>Paul</v>
      </c>
      <c r="K49" s="13" t="str">
        <f t="shared" ca="1" si="8"/>
        <v>Raven</v>
      </c>
      <c r="L49" s="13" t="str">
        <f t="shared" ca="1" si="8"/>
        <v>Matt</v>
      </c>
      <c r="M49" s="13" t="str">
        <f t="shared" ca="1" si="8"/>
        <v>Cody</v>
      </c>
      <c r="N49" s="13" t="str">
        <f t="shared" ca="1" si="8"/>
        <v/>
      </c>
      <c r="O49" s="13" t="str">
        <f t="shared" ca="1" si="8"/>
        <v>Elena</v>
      </c>
      <c r="P49" s="13" t="str">
        <f t="shared" ca="1" si="8"/>
        <v>Matt</v>
      </c>
      <c r="Q49" s="13" t="str">
        <f t="shared" ca="1" si="8"/>
        <v>Kevin</v>
      </c>
      <c r="R49" s="13" t="str">
        <f t="shared" ca="1" si="8"/>
        <v>Mark</v>
      </c>
      <c r="S49" s="13"/>
      <c r="T49" s="13"/>
      <c r="U49" s="13"/>
      <c r="V49" s="13"/>
    </row>
    <row r="50" spans="1:22" x14ac:dyDescent="0.25">
      <c r="A50" s="13"/>
      <c r="B50" s="13" t="str">
        <f t="shared" ref="B50:B63" ca="1" si="9">IF(B49="","",IF(B49=B26,B27,IF(B26=$A$48,B27,B26)))</f>
        <v>Cody</v>
      </c>
      <c r="C50" s="13" t="str">
        <f t="shared" ref="C50:R50" ca="1" si="10">IF(C49="","",IF(C49=C26,C27,IF(C26=$A$48,C27,C26)))</f>
        <v>Josh</v>
      </c>
      <c r="D50" s="13" t="str">
        <f t="shared" ca="1" si="10"/>
        <v>Jillian</v>
      </c>
      <c r="E50" s="13" t="str">
        <f t="shared" ca="1" si="10"/>
        <v>Paul</v>
      </c>
      <c r="F50" s="13" t="str">
        <f t="shared" ca="1" si="10"/>
        <v>Jason</v>
      </c>
      <c r="G50" s="13" t="str">
        <f t="shared" ca="1" si="10"/>
        <v>Christmas</v>
      </c>
      <c r="H50" s="13" t="str">
        <f t="shared" ca="1" si="10"/>
        <v>Christmas</v>
      </c>
      <c r="I50" s="13" t="str">
        <f t="shared" ca="1" si="10"/>
        <v>Matt</v>
      </c>
      <c r="J50" s="13" t="str">
        <f t="shared" ca="1" si="10"/>
        <v>Ramses</v>
      </c>
      <c r="K50" s="13" t="str">
        <f t="shared" ca="1" si="10"/>
        <v>Elena</v>
      </c>
      <c r="L50" s="13" t="str">
        <f t="shared" ca="1" si="10"/>
        <v>Megan</v>
      </c>
      <c r="M50" s="13" t="str">
        <f t="shared" ca="1" si="10"/>
        <v>Alex</v>
      </c>
      <c r="N50" s="13" t="str">
        <f t="shared" ca="1" si="10"/>
        <v/>
      </c>
      <c r="O50" s="13" t="str">
        <f t="shared" ca="1" si="10"/>
        <v>Matt</v>
      </c>
      <c r="P50" s="13" t="str">
        <f t="shared" ca="1" si="10"/>
        <v>Ramses</v>
      </c>
      <c r="Q50" s="13" t="str">
        <f t="shared" ca="1" si="10"/>
        <v>Alex</v>
      </c>
      <c r="R50" s="13" t="str">
        <f t="shared" ca="1" si="10"/>
        <v>Cameron</v>
      </c>
      <c r="S50" s="13"/>
      <c r="T50" s="13"/>
      <c r="U50" s="13"/>
      <c r="V50" s="13"/>
    </row>
    <row r="51" spans="1:22" x14ac:dyDescent="0.25">
      <c r="A51" s="13"/>
      <c r="B51" s="13" t="str">
        <f t="shared" ca="1" si="9"/>
        <v>Ramses</v>
      </c>
      <c r="C51" s="13" t="str">
        <f t="shared" ref="C51:R51" ca="1" si="11">IF(C50="","",IF(C50=C27,C28,IF(C27=$A$48,C28,C27)))</f>
        <v>Paul</v>
      </c>
      <c r="D51" s="13" t="str">
        <f t="shared" ca="1" si="11"/>
        <v>Ramses</v>
      </c>
      <c r="E51" s="13" t="str">
        <f t="shared" ca="1" si="11"/>
        <v>Matt</v>
      </c>
      <c r="F51" s="13" t="str">
        <f t="shared" ca="1" si="11"/>
        <v>Cody</v>
      </c>
      <c r="G51" s="13" t="str">
        <f t="shared" ca="1" si="11"/>
        <v>Jessica</v>
      </c>
      <c r="H51" s="13" t="str">
        <f t="shared" ca="1" si="11"/>
        <v>Jillian</v>
      </c>
      <c r="I51" s="13" t="str">
        <f t="shared" ca="1" si="11"/>
        <v>Cody</v>
      </c>
      <c r="J51" s="13" t="str">
        <f t="shared" ca="1" si="11"/>
        <v>Jason</v>
      </c>
      <c r="K51" s="13" t="str">
        <f t="shared" ca="1" si="11"/>
        <v>Christmas</v>
      </c>
      <c r="L51" s="13" t="str">
        <f t="shared" ca="1" si="11"/>
        <v>Jillian</v>
      </c>
      <c r="M51" s="13" t="str">
        <f t="shared" ca="1" si="11"/>
        <v>Jessica</v>
      </c>
      <c r="N51" s="13" t="str">
        <f t="shared" ca="1" si="11"/>
        <v/>
      </c>
      <c r="O51" s="13" t="str">
        <f t="shared" ca="1" si="11"/>
        <v>Raven</v>
      </c>
      <c r="P51" s="13" t="str">
        <f t="shared" ca="1" si="11"/>
        <v>Mark</v>
      </c>
      <c r="Q51" s="13" t="str">
        <f t="shared" ca="1" si="11"/>
        <v>Cody</v>
      </c>
      <c r="R51" s="13" t="str">
        <f t="shared" ca="1" si="11"/>
        <v>Elena</v>
      </c>
      <c r="S51" s="13"/>
      <c r="T51" s="13"/>
      <c r="U51" s="13"/>
      <c r="V51" s="13"/>
    </row>
    <row r="52" spans="1:22" x14ac:dyDescent="0.25">
      <c r="A52" s="13"/>
      <c r="B52" s="13" t="str">
        <f t="shared" ca="1" si="9"/>
        <v>Elena</v>
      </c>
      <c r="C52" s="13" t="str">
        <f t="shared" ref="C52:R52" ca="1" si="12">IF(C51="","",IF(C51=C28,C29,IF(C28=$A$48,C29,C28)))</f>
        <v>Jillian</v>
      </c>
      <c r="D52" s="13" t="str">
        <f t="shared" ca="1" si="12"/>
        <v>Matt</v>
      </c>
      <c r="E52" s="13" t="str">
        <f t="shared" ca="1" si="12"/>
        <v>Jillian</v>
      </c>
      <c r="F52" s="13" t="str">
        <f t="shared" ca="1" si="12"/>
        <v>Megan</v>
      </c>
      <c r="G52" s="13" t="str">
        <f t="shared" ca="1" si="12"/>
        <v>Kevin</v>
      </c>
      <c r="H52" s="13" t="str">
        <f t="shared" ca="1" si="12"/>
        <v>Cody</v>
      </c>
      <c r="I52" s="13" t="str">
        <f t="shared" ca="1" si="12"/>
        <v>Alex</v>
      </c>
      <c r="J52" s="13" t="str">
        <f t="shared" ca="1" si="12"/>
        <v>Megan</v>
      </c>
      <c r="K52" s="13" t="str">
        <f t="shared" ca="1" si="12"/>
        <v>Mark</v>
      </c>
      <c r="L52" s="13" t="str">
        <f t="shared" ca="1" si="12"/>
        <v>Alex</v>
      </c>
      <c r="M52" s="13" t="str">
        <f t="shared" ca="1" si="12"/>
        <v>Christmas</v>
      </c>
      <c r="N52" s="13" t="str">
        <f t="shared" ca="1" si="12"/>
        <v/>
      </c>
      <c r="O52" s="13" t="str">
        <f t="shared" ca="1" si="12"/>
        <v>Cameron</v>
      </c>
      <c r="P52" s="13" t="str">
        <f t="shared" ca="1" si="12"/>
        <v>Kevin</v>
      </c>
      <c r="Q52" s="13" t="str">
        <f t="shared" ca="1" si="12"/>
        <v>Matt</v>
      </c>
      <c r="R52" s="13" t="str">
        <f t="shared" ca="1" si="12"/>
        <v>Jason</v>
      </c>
      <c r="S52" s="13"/>
      <c r="T52" s="13"/>
      <c r="U52" s="13"/>
      <c r="V52" s="13"/>
    </row>
    <row r="53" spans="1:22" x14ac:dyDescent="0.25">
      <c r="A53" s="13"/>
      <c r="B53" s="13" t="str">
        <f t="shared" ca="1" si="9"/>
        <v>Christmas</v>
      </c>
      <c r="C53" s="13" t="str">
        <f t="shared" ref="C53:R53" ca="1" si="13">IF(C52="","",IF(C52=C29,C30,IF(C29=$A$48,C30,C29)))</f>
        <v>Raven</v>
      </c>
      <c r="D53" s="13" t="str">
        <f t="shared" ca="1" si="13"/>
        <v>Christmas</v>
      </c>
      <c r="E53" s="13" t="str">
        <f t="shared" ca="1" si="13"/>
        <v>Cameron</v>
      </c>
      <c r="F53" s="13" t="str">
        <f t="shared" ca="1" si="13"/>
        <v>Cameron</v>
      </c>
      <c r="G53" s="13" t="str">
        <f t="shared" ca="1" si="13"/>
        <v>Jason</v>
      </c>
      <c r="H53" s="13" t="str">
        <f t="shared" ca="1" si="13"/>
        <v>Ramses</v>
      </c>
      <c r="I53" s="13" t="str">
        <f t="shared" ca="1" si="13"/>
        <v>Jillian</v>
      </c>
      <c r="J53" s="13" t="str">
        <f t="shared" ca="1" si="13"/>
        <v>Cameron</v>
      </c>
      <c r="K53" s="13" t="str">
        <f t="shared" ca="1" si="13"/>
        <v>Ramses</v>
      </c>
      <c r="L53" s="13" t="str">
        <f t="shared" ca="1" si="13"/>
        <v>Jessica</v>
      </c>
      <c r="M53" s="13" t="str">
        <f t="shared" ca="1" si="13"/>
        <v>Jillian</v>
      </c>
      <c r="N53" s="13" t="str">
        <f t="shared" ca="1" si="13"/>
        <v/>
      </c>
      <c r="O53" s="13" t="str">
        <f t="shared" ca="1" si="13"/>
        <v>Josh</v>
      </c>
      <c r="P53" s="13" t="str">
        <f t="shared" ca="1" si="13"/>
        <v>Jessica</v>
      </c>
      <c r="Q53" s="13" t="str">
        <f t="shared" ca="1" si="13"/>
        <v>Jillian</v>
      </c>
      <c r="R53" s="13" t="str">
        <f t="shared" ca="1" si="13"/>
        <v>Jillian</v>
      </c>
      <c r="S53" s="13"/>
      <c r="T53" s="13"/>
      <c r="U53" s="13"/>
      <c r="V53" s="13"/>
    </row>
    <row r="54" spans="1:22" x14ac:dyDescent="0.25">
      <c r="A54" s="13"/>
      <c r="B54" s="13" t="str">
        <f t="shared" ca="1" si="9"/>
        <v>Cameron</v>
      </c>
      <c r="C54" s="13" t="str">
        <f t="shared" ref="C54:R54" ca="1" si="14">IF(C53="","",IF(C53=C30,C31,IF(C30=$A$48,C31,C30)))</f>
        <v>Megan</v>
      </c>
      <c r="D54" s="13" t="str">
        <f t="shared" ca="1" si="14"/>
        <v>Kevin</v>
      </c>
      <c r="E54" s="13" t="str">
        <f t="shared" ca="1" si="14"/>
        <v>Ramses</v>
      </c>
      <c r="F54" s="13" t="str">
        <f t="shared" ca="1" si="14"/>
        <v>Josh</v>
      </c>
      <c r="G54" s="13" t="str">
        <f t="shared" ca="1" si="14"/>
        <v>Jillian</v>
      </c>
      <c r="H54" s="13" t="str">
        <f t="shared" ca="1" si="14"/>
        <v>Paul</v>
      </c>
      <c r="I54" s="13" t="str">
        <f t="shared" ca="1" si="14"/>
        <v>Cameron</v>
      </c>
      <c r="J54" s="13" t="str">
        <f t="shared" ca="1" si="14"/>
        <v>Elena</v>
      </c>
      <c r="K54" s="13" t="str">
        <f t="shared" ca="1" si="14"/>
        <v>Jason</v>
      </c>
      <c r="L54" s="13" t="str">
        <f t="shared" ca="1" si="14"/>
        <v>Mark</v>
      </c>
      <c r="M54" s="13" t="str">
        <f t="shared" ca="1" si="14"/>
        <v>Raven</v>
      </c>
      <c r="N54" s="13" t="str">
        <f t="shared" ca="1" si="14"/>
        <v/>
      </c>
      <c r="O54" s="13" t="str">
        <f t="shared" ca="1" si="14"/>
        <v>Jillian</v>
      </c>
      <c r="P54" s="13" t="str">
        <f t="shared" ca="1" si="14"/>
        <v>Elena</v>
      </c>
      <c r="Q54" s="13" t="str">
        <f t="shared" ca="1" si="14"/>
        <v>Megan</v>
      </c>
      <c r="R54" s="13" t="str">
        <f t="shared" ca="1" si="14"/>
        <v>Megan</v>
      </c>
      <c r="S54" s="13"/>
      <c r="T54" s="13"/>
      <c r="U54" s="13"/>
      <c r="V54" s="13"/>
    </row>
    <row r="55" spans="1:22" x14ac:dyDescent="0.25">
      <c r="A55" s="13"/>
      <c r="B55" s="13" t="str">
        <f t="shared" ca="1" si="9"/>
        <v>Alex</v>
      </c>
      <c r="C55" s="13" t="str">
        <f t="shared" ref="C55:R55" ca="1" si="15">IF(C54="","",IF(C54=C31,C32,IF(C31=$A$48,C32,C31)))</f>
        <v>Jessica</v>
      </c>
      <c r="D55" s="13" t="str">
        <f t="shared" ca="1" si="15"/>
        <v>Jessica</v>
      </c>
      <c r="E55" s="13" t="str">
        <f t="shared" ca="1" si="15"/>
        <v>Alex</v>
      </c>
      <c r="F55" s="13" t="str">
        <f t="shared" ca="1" si="15"/>
        <v>Paul</v>
      </c>
      <c r="G55" s="13" t="str">
        <f t="shared" ca="1" si="15"/>
        <v>Elena</v>
      </c>
      <c r="H55" s="13" t="str">
        <f t="shared" ca="1" si="15"/>
        <v>Mark</v>
      </c>
      <c r="I55" s="13" t="str">
        <f t="shared" ca="1" si="15"/>
        <v>Megan</v>
      </c>
      <c r="J55" s="13" t="str">
        <f t="shared" ca="1" si="15"/>
        <v>Alex</v>
      </c>
      <c r="K55" s="13" t="str">
        <f t="shared" ca="1" si="15"/>
        <v>Paul</v>
      </c>
      <c r="L55" s="13" t="str">
        <f t="shared" ca="1" si="15"/>
        <v>Kevin</v>
      </c>
      <c r="M55" s="13" t="str">
        <f t="shared" ca="1" si="15"/>
        <v>Kevin</v>
      </c>
      <c r="N55" s="13" t="str">
        <f t="shared" ca="1" si="15"/>
        <v/>
      </c>
      <c r="O55" s="13" t="str">
        <f t="shared" ca="1" si="15"/>
        <v>Kevin</v>
      </c>
      <c r="P55" s="13" t="str">
        <f t="shared" ca="1" si="15"/>
        <v>Paul</v>
      </c>
      <c r="Q55" s="13" t="str">
        <f t="shared" ca="1" si="15"/>
        <v>Raven</v>
      </c>
      <c r="R55" s="13" t="str">
        <f t="shared" ca="1" si="15"/>
        <v>Ramses</v>
      </c>
      <c r="S55" s="13"/>
      <c r="T55" s="13"/>
      <c r="U55" s="13"/>
      <c r="V55" s="13"/>
    </row>
    <row r="56" spans="1:22" x14ac:dyDescent="0.25">
      <c r="A56" s="13"/>
      <c r="B56" s="13" t="str">
        <f t="shared" ca="1" si="9"/>
        <v>Jason</v>
      </c>
      <c r="C56" s="13" t="str">
        <f t="shared" ref="C56:R56" ca="1" si="16">IF(C55="","",IF(C55=C32,C33,IF(C32=$A$48,C33,C32)))</f>
        <v>Matt</v>
      </c>
      <c r="D56" s="13" t="str">
        <f t="shared" ca="1" si="16"/>
        <v>Jason</v>
      </c>
      <c r="E56" s="13" t="str">
        <f t="shared" ca="1" si="16"/>
        <v>Josh</v>
      </c>
      <c r="F56" s="13" t="str">
        <f t="shared" ca="1" si="16"/>
        <v>Ramses</v>
      </c>
      <c r="G56" s="13" t="str">
        <f t="shared" ca="1" si="16"/>
        <v>Paul</v>
      </c>
      <c r="H56" s="13" t="str">
        <f t="shared" ca="1" si="16"/>
        <v>Matt</v>
      </c>
      <c r="I56" s="13" t="str">
        <f t="shared" ca="1" si="16"/>
        <v>Jason</v>
      </c>
      <c r="J56" s="13" t="str">
        <f t="shared" ca="1" si="16"/>
        <v>Kevin</v>
      </c>
      <c r="K56" s="13" t="str">
        <f t="shared" ca="1" si="16"/>
        <v>Cody</v>
      </c>
      <c r="L56" s="13" t="str">
        <f t="shared" ca="1" si="16"/>
        <v>Paul</v>
      </c>
      <c r="M56" s="13" t="str">
        <f t="shared" ca="1" si="16"/>
        <v>Mark</v>
      </c>
      <c r="N56" s="13" t="str">
        <f t="shared" ca="1" si="16"/>
        <v/>
      </c>
      <c r="O56" s="13" t="str">
        <f t="shared" ca="1" si="16"/>
        <v>Jessica</v>
      </c>
      <c r="P56" s="13" t="str">
        <f t="shared" ca="1" si="16"/>
        <v>Raven</v>
      </c>
      <c r="Q56" s="13" t="str">
        <f t="shared" ca="1" si="16"/>
        <v>Jessica</v>
      </c>
      <c r="R56" s="13" t="str">
        <f t="shared" ca="1" si="16"/>
        <v>Josh</v>
      </c>
      <c r="S56" s="13"/>
      <c r="T56" s="13"/>
      <c r="U56" s="13"/>
      <c r="V56" s="13"/>
    </row>
    <row r="57" spans="1:22" x14ac:dyDescent="0.25">
      <c r="A57" s="13"/>
      <c r="B57" s="13" t="str">
        <f t="shared" ca="1" si="9"/>
        <v>Jillian</v>
      </c>
      <c r="C57" s="13" t="str">
        <f t="shared" ref="C57:R57" ca="1" si="17">IF(C56="","",IF(C56=C33,C34,IF(C33=$A$48,C34,C33)))</f>
        <v>Kevin</v>
      </c>
      <c r="D57" s="13" t="str">
        <f t="shared" ca="1" si="17"/>
        <v>Elena</v>
      </c>
      <c r="E57" s="13" t="str">
        <f t="shared" ca="1" si="17"/>
        <v>Jessica</v>
      </c>
      <c r="F57" s="13" t="str">
        <f t="shared" ca="1" si="17"/>
        <v>Kevin</v>
      </c>
      <c r="G57" s="13" t="str">
        <f t="shared" ca="1" si="17"/>
        <v>Cody</v>
      </c>
      <c r="H57" s="13" t="str">
        <f t="shared" ca="1" si="17"/>
        <v>Elena</v>
      </c>
      <c r="I57" s="13" t="str">
        <f t="shared" ca="1" si="17"/>
        <v>Kevin</v>
      </c>
      <c r="J57" s="13" t="str">
        <f t="shared" ca="1" si="17"/>
        <v>Cody</v>
      </c>
      <c r="K57" s="13" t="str">
        <f t="shared" ca="1" si="17"/>
        <v>Cameron</v>
      </c>
      <c r="L57" s="13" t="str">
        <f t="shared" ca="1" si="17"/>
        <v>Cody</v>
      </c>
      <c r="M57" s="13" t="str">
        <f t="shared" ca="1" si="17"/>
        <v>Paul</v>
      </c>
      <c r="N57" s="13" t="str">
        <f t="shared" ca="1" si="17"/>
        <v/>
      </c>
      <c r="O57" s="13" t="str">
        <f t="shared" ca="1" si="17"/>
        <v>Jason</v>
      </c>
      <c r="P57" s="13" t="str">
        <f t="shared" ca="1" si="17"/>
        <v>Jillian</v>
      </c>
      <c r="Q57" s="13" t="str">
        <f t="shared" ca="1" si="17"/>
        <v>Josh</v>
      </c>
      <c r="R57" s="13" t="str">
        <f t="shared" ca="1" si="17"/>
        <v>Christmas</v>
      </c>
      <c r="S57" s="13"/>
      <c r="T57" s="13"/>
      <c r="U57" s="13"/>
      <c r="V57" s="13"/>
    </row>
    <row r="58" spans="1:22" x14ac:dyDescent="0.25">
      <c r="A58" s="13"/>
      <c r="B58" s="13" t="str">
        <f t="shared" ca="1" si="9"/>
        <v>Josh</v>
      </c>
      <c r="C58" s="13" t="str">
        <f t="shared" ref="C58:R58" ca="1" si="18">IF(C57="","",IF(C57=C34,C35,IF(C34=$A$48,C35,C34)))</f>
        <v>Alex</v>
      </c>
      <c r="D58" s="13" t="str">
        <f t="shared" ca="1" si="18"/>
        <v>Mark</v>
      </c>
      <c r="E58" s="13" t="str">
        <f t="shared" ca="1" si="18"/>
        <v>Elena</v>
      </c>
      <c r="F58" s="13" t="str">
        <f t="shared" ca="1" si="18"/>
        <v>Jessica</v>
      </c>
      <c r="G58" s="13" t="str">
        <f t="shared" ca="1" si="18"/>
        <v>Matt</v>
      </c>
      <c r="H58" s="13" t="str">
        <f t="shared" ca="1" si="18"/>
        <v>Jason</v>
      </c>
      <c r="I58" s="13" t="str">
        <f t="shared" ca="1" si="18"/>
        <v>Jessica</v>
      </c>
      <c r="J58" s="13" t="str">
        <f t="shared" ca="1" si="18"/>
        <v>Christmas</v>
      </c>
      <c r="K58" s="13" t="str">
        <f t="shared" ca="1" si="18"/>
        <v>Matt</v>
      </c>
      <c r="L58" s="13" t="str">
        <f t="shared" ca="1" si="18"/>
        <v>Josh</v>
      </c>
      <c r="M58" s="13" t="str">
        <f t="shared" ca="1" si="18"/>
        <v>Jason</v>
      </c>
      <c r="N58" s="13" t="str">
        <f t="shared" ca="1" si="18"/>
        <v/>
      </c>
      <c r="O58" s="13" t="str">
        <f t="shared" ca="1" si="18"/>
        <v>Paul</v>
      </c>
      <c r="P58" s="13" t="str">
        <f t="shared" ca="1" si="18"/>
        <v>Alex</v>
      </c>
      <c r="Q58" s="13" t="str">
        <f t="shared" ca="1" si="18"/>
        <v>Christmas</v>
      </c>
      <c r="R58" s="13" t="str">
        <f t="shared" ca="1" si="18"/>
        <v>Jessica</v>
      </c>
      <c r="S58" s="13"/>
      <c r="T58" s="13"/>
      <c r="U58" s="13"/>
      <c r="V58" s="13"/>
    </row>
    <row r="59" spans="1:22" x14ac:dyDescent="0.25">
      <c r="A59" s="13"/>
      <c r="B59" s="13" t="str">
        <f t="shared" ca="1" si="9"/>
        <v>Matt</v>
      </c>
      <c r="C59" s="13" t="str">
        <f t="shared" ref="C59:R59" ca="1" si="19">IF(C58="","",IF(C58=C35,C36,IF(C35=$A$48,C36,C35)))</f>
        <v>Mark</v>
      </c>
      <c r="D59" s="13" t="str">
        <f t="shared" ca="1" si="19"/>
        <v>Cody</v>
      </c>
      <c r="E59" s="13" t="str">
        <f t="shared" ca="1" si="19"/>
        <v>Cody</v>
      </c>
      <c r="F59" s="13" t="str">
        <f t="shared" ca="1" si="19"/>
        <v>Mark</v>
      </c>
      <c r="G59" s="13" t="str">
        <f t="shared" ca="1" si="19"/>
        <v>Cameron</v>
      </c>
      <c r="H59" s="13" t="str">
        <f t="shared" ca="1" si="19"/>
        <v>Josh</v>
      </c>
      <c r="I59" s="13" t="str">
        <f t="shared" ca="1" si="19"/>
        <v>Raven</v>
      </c>
      <c r="J59" s="13" t="str">
        <f t="shared" ca="1" si="19"/>
        <v>Josh</v>
      </c>
      <c r="K59" s="13" t="str">
        <f t="shared" ca="1" si="19"/>
        <v>Alex</v>
      </c>
      <c r="L59" s="13" t="str">
        <f t="shared" ca="1" si="19"/>
        <v>Elena</v>
      </c>
      <c r="M59" s="13" t="str">
        <f t="shared" ca="1" si="19"/>
        <v>Megan</v>
      </c>
      <c r="N59" s="13" t="str">
        <f t="shared" ca="1" si="19"/>
        <v/>
      </c>
      <c r="O59" s="13" t="str">
        <f t="shared" ca="1" si="19"/>
        <v>Mark</v>
      </c>
      <c r="P59" s="13" t="str">
        <f t="shared" ca="1" si="19"/>
        <v>Jason</v>
      </c>
      <c r="Q59" s="13" t="str">
        <f t="shared" ca="1" si="19"/>
        <v>Mark</v>
      </c>
      <c r="R59" s="13" t="str">
        <f t="shared" ca="1" si="19"/>
        <v>Raven</v>
      </c>
      <c r="S59" s="13"/>
      <c r="T59" s="13"/>
      <c r="U59" s="13"/>
      <c r="V59" s="13"/>
    </row>
    <row r="60" spans="1:22" x14ac:dyDescent="0.25">
      <c r="A60" s="13"/>
      <c r="B60" s="13" t="str">
        <f t="shared" ca="1" si="9"/>
        <v>Mark</v>
      </c>
      <c r="C60" s="13" t="str">
        <f t="shared" ref="C60:R60" ca="1" si="20">IF(C59="","",IF(C59=C36,C37,IF(C36=$A$48,C37,C36)))</f>
        <v>Elena</v>
      </c>
      <c r="D60" s="13" t="str">
        <f t="shared" ca="1" si="20"/>
        <v>Josh</v>
      </c>
      <c r="E60" s="13" t="str">
        <f t="shared" ca="1" si="20"/>
        <v>Raven</v>
      </c>
      <c r="F60" s="13" t="str">
        <f t="shared" ca="1" si="20"/>
        <v>Jillian</v>
      </c>
      <c r="G60" s="13" t="str">
        <f t="shared" ca="1" si="20"/>
        <v>Ramses</v>
      </c>
      <c r="H60" s="13" t="str">
        <f t="shared" ca="1" si="20"/>
        <v>Jessica</v>
      </c>
      <c r="I60" s="13" t="str">
        <f t="shared" ca="1" si="20"/>
        <v>Mark</v>
      </c>
      <c r="J60" s="13" t="str">
        <f t="shared" ca="1" si="20"/>
        <v>Mark</v>
      </c>
      <c r="K60" s="13" t="str">
        <f t="shared" ca="1" si="20"/>
        <v>Megan</v>
      </c>
      <c r="L60" s="13" t="str">
        <f t="shared" ca="1" si="20"/>
        <v>Raven</v>
      </c>
      <c r="M60" s="13" t="str">
        <f t="shared" ca="1" si="20"/>
        <v>Cameron</v>
      </c>
      <c r="N60" s="13" t="str">
        <f t="shared" ca="1" si="20"/>
        <v/>
      </c>
      <c r="O60" s="13" t="str">
        <f t="shared" ca="1" si="20"/>
        <v>Alex</v>
      </c>
      <c r="P60" s="13" t="str">
        <f t="shared" ca="1" si="20"/>
        <v>Cameron</v>
      </c>
      <c r="Q60" s="13" t="str">
        <f t="shared" ca="1" si="20"/>
        <v>Jason</v>
      </c>
      <c r="R60" s="13" t="str">
        <f t="shared" ca="1" si="20"/>
        <v>Cody</v>
      </c>
      <c r="S60" s="13"/>
      <c r="T60" s="13"/>
      <c r="U60" s="13"/>
      <c r="V60" s="13"/>
    </row>
    <row r="61" spans="1:22" x14ac:dyDescent="0.25">
      <c r="A61" s="13"/>
      <c r="B61" s="13" t="str">
        <f t="shared" ca="1" si="9"/>
        <v>Megan</v>
      </c>
      <c r="C61" s="13" t="str">
        <f t="shared" ref="C61:R61" ca="1" si="21">IF(C60="","",IF(C60=C37,C38,IF(C37=$A$48,C38,C37)))</f>
        <v>Cody</v>
      </c>
      <c r="D61" s="13" t="str">
        <f t="shared" ca="1" si="21"/>
        <v>Cameron</v>
      </c>
      <c r="E61" s="13" t="str">
        <f t="shared" ca="1" si="21"/>
        <v>Mark</v>
      </c>
      <c r="F61" s="13" t="str">
        <f t="shared" ca="1" si="21"/>
        <v>Raven</v>
      </c>
      <c r="G61" s="13" t="str">
        <f t="shared" ca="1" si="21"/>
        <v>Josh</v>
      </c>
      <c r="H61" s="13" t="str">
        <f t="shared" ca="1" si="21"/>
        <v>Raven</v>
      </c>
      <c r="I61" s="13" t="str">
        <f t="shared" ca="1" si="21"/>
        <v>Christmas</v>
      </c>
      <c r="J61" s="13" t="str">
        <f t="shared" ca="1" si="21"/>
        <v>Raven</v>
      </c>
      <c r="K61" s="13" t="str">
        <f t="shared" ca="1" si="21"/>
        <v>Josh</v>
      </c>
      <c r="L61" s="13" t="str">
        <f t="shared" ca="1" si="21"/>
        <v>Christmas</v>
      </c>
      <c r="M61" s="13" t="str">
        <f t="shared" ca="1" si="21"/>
        <v>Ramses</v>
      </c>
      <c r="N61" s="13" t="str">
        <f t="shared" ca="1" si="21"/>
        <v/>
      </c>
      <c r="O61" s="13" t="str">
        <f t="shared" ca="1" si="21"/>
        <v>Megan</v>
      </c>
      <c r="P61" s="13" t="str">
        <f t="shared" ca="1" si="21"/>
        <v>Josh</v>
      </c>
      <c r="Q61" s="13" t="str">
        <f t="shared" ca="1" si="21"/>
        <v>Elena</v>
      </c>
      <c r="R61" s="13" t="str">
        <f t="shared" ca="1" si="21"/>
        <v>Paul</v>
      </c>
      <c r="S61" s="13"/>
      <c r="T61" s="13"/>
      <c r="U61" s="13"/>
      <c r="V61" s="13"/>
    </row>
    <row r="62" spans="1:22" x14ac:dyDescent="0.25">
      <c r="A62" s="13"/>
      <c r="B62" s="13" t="str">
        <f t="shared" ca="1" si="9"/>
        <v>Kevin</v>
      </c>
      <c r="C62" s="13" t="str">
        <f t="shared" ref="C62:R62" ca="1" si="22">IF(C61="","",IF(C61=C38,C39,IF(C38=$A$48,C39,C38)))</f>
        <v>Cameron</v>
      </c>
      <c r="D62" s="13" t="str">
        <f t="shared" ca="1" si="22"/>
        <v>Alex</v>
      </c>
      <c r="E62" s="13" t="str">
        <f t="shared" ca="1" si="22"/>
        <v>Christmas</v>
      </c>
      <c r="F62" s="13" t="str">
        <f t="shared" ca="1" si="22"/>
        <v>Elena</v>
      </c>
      <c r="G62" s="13" t="str">
        <f t="shared" ca="1" si="22"/>
        <v>Raven</v>
      </c>
      <c r="H62" s="13" t="str">
        <f t="shared" ca="1" si="22"/>
        <v>Alex</v>
      </c>
      <c r="I62" s="13" t="str">
        <f t="shared" ca="1" si="22"/>
        <v>Paul</v>
      </c>
      <c r="J62" s="13" t="str">
        <f t="shared" ca="1" si="22"/>
        <v>Jessica</v>
      </c>
      <c r="K62" s="13" t="str">
        <f t="shared" ca="1" si="22"/>
        <v>Jillian</v>
      </c>
      <c r="L62" s="13" t="str">
        <f t="shared" ca="1" si="22"/>
        <v>Cameron</v>
      </c>
      <c r="M62" s="13" t="str">
        <f t="shared" ca="1" si="22"/>
        <v>Matt</v>
      </c>
      <c r="N62" s="13" t="str">
        <f t="shared" ca="1" si="22"/>
        <v/>
      </c>
      <c r="O62" s="13" t="str">
        <f t="shared" ca="1" si="22"/>
        <v>Ramses</v>
      </c>
      <c r="P62" s="13" t="str">
        <f t="shared" ca="1" si="22"/>
        <v>Megan</v>
      </c>
      <c r="Q62" s="13" t="str">
        <f t="shared" ca="1" si="22"/>
        <v>Paul</v>
      </c>
      <c r="R62" s="13" t="str">
        <f t="shared" ca="1" si="22"/>
        <v>Kevin</v>
      </c>
      <c r="S62" s="13"/>
      <c r="T62" s="13"/>
      <c r="U62" s="13"/>
      <c r="V62" s="13"/>
    </row>
    <row r="63" spans="1:22" x14ac:dyDescent="0.25">
      <c r="A63" s="13"/>
      <c r="B63" s="13" t="str">
        <f t="shared" ca="1" si="9"/>
        <v>Paul</v>
      </c>
      <c r="C63" s="13" t="str">
        <f t="shared" ref="C63:R63" ca="1" si="23">IF(C62="","",IF(C62=C39,C40,IF(C39=$A$48,C40,C39)))</f>
        <v>Jason</v>
      </c>
      <c r="D63" s="13" t="str">
        <f t="shared" ca="1" si="23"/>
        <v>Raven</v>
      </c>
      <c r="E63" s="13" t="str">
        <f t="shared" ca="1" si="23"/>
        <v>Kevin</v>
      </c>
      <c r="F63" s="13" t="str">
        <f t="shared" ca="1" si="23"/>
        <v>Alex</v>
      </c>
      <c r="G63" s="13" t="str">
        <f t="shared" ca="1" si="23"/>
        <v>Megan</v>
      </c>
      <c r="H63" s="13" t="str">
        <f t="shared" ca="1" si="23"/>
        <v>Megan</v>
      </c>
      <c r="I63" s="13" t="str">
        <f t="shared" ca="1" si="23"/>
        <v>Elena</v>
      </c>
      <c r="J63" s="13" t="str">
        <f t="shared" ca="1" si="23"/>
        <v>Matt</v>
      </c>
      <c r="K63" s="13" t="str">
        <f t="shared" ca="1" si="23"/>
        <v>Kevin</v>
      </c>
      <c r="L63" s="13" t="str">
        <f t="shared" ca="1" si="23"/>
        <v>Ramses</v>
      </c>
      <c r="M63" s="13" t="str">
        <f t="shared" ca="1" si="23"/>
        <v>Josh</v>
      </c>
      <c r="N63" s="13" t="str">
        <f t="shared" ca="1" si="23"/>
        <v/>
      </c>
      <c r="O63" s="13" t="str">
        <f t="shared" ca="1" si="23"/>
        <v>Christmas</v>
      </c>
      <c r="P63" s="13" t="str">
        <f t="shared" ca="1" si="23"/>
        <v>Cody</v>
      </c>
      <c r="Q63" s="13" t="str">
        <f t="shared" ca="1" si="23"/>
        <v>Ramses</v>
      </c>
      <c r="R63" s="13" t="str">
        <f t="shared" ca="1" si="23"/>
        <v>Matt</v>
      </c>
      <c r="S63" s="13"/>
      <c r="T63" s="13"/>
      <c r="U63" s="13"/>
      <c r="V63" s="13"/>
    </row>
    <row r="64" spans="1:22" x14ac:dyDescent="0.25">
      <c r="A64" s="13"/>
      <c r="B64" s="13"/>
      <c r="C64" s="13"/>
      <c r="D64" s="13"/>
      <c r="E64" s="13"/>
      <c r="F64" s="13"/>
      <c r="G64" s="13"/>
      <c r="H64" s="13"/>
      <c r="I64" s="13"/>
      <c r="J64" s="13"/>
      <c r="K64" s="13"/>
      <c r="L64" s="13"/>
      <c r="M64" s="13"/>
      <c r="N64" s="13"/>
      <c r="O64" s="13"/>
      <c r="P64" s="13"/>
      <c r="Q64" s="13"/>
      <c r="R64" s="13"/>
      <c r="S64" s="13"/>
      <c r="T64" s="13"/>
      <c r="U64" s="13"/>
      <c r="V64" s="13"/>
    </row>
    <row r="65" spans="1:22" x14ac:dyDescent="0.25">
      <c r="A65" t="s">
        <v>113</v>
      </c>
      <c r="B65" t="str">
        <f ca="1">Game!G276</f>
        <v>Paul</v>
      </c>
      <c r="C65" t="str">
        <f ca="1">Game!G277</f>
        <v>Megan</v>
      </c>
      <c r="E65" s="13"/>
      <c r="F65" s="13"/>
      <c r="G65" s="13"/>
      <c r="H65" s="13"/>
      <c r="I65" s="13"/>
      <c r="J65" s="13"/>
      <c r="K65" s="13"/>
      <c r="L65" s="13"/>
      <c r="M65" s="13"/>
      <c r="N65" s="13"/>
      <c r="O65" s="13"/>
      <c r="P65" s="13"/>
      <c r="Q65" s="13"/>
      <c r="R65" s="13"/>
      <c r="S65" s="13"/>
      <c r="T65" s="13"/>
      <c r="U65" s="13"/>
      <c r="V65" s="13"/>
    </row>
    <row r="66" spans="1:22" x14ac:dyDescent="0.25">
      <c r="A66">
        <f>IF(Relationships!B26="",ROUND(RAND*100,0),IF(Relationships!B26&gt;=100,100,IF(Relationships!B26&lt;=0,0,Relationships!B26)))</f>
        <v>65</v>
      </c>
      <c r="B66" t="str">
        <f t="shared" ref="B66:R66" ca="1" si="24">IF(COUNTIF($B65:$C65,B$1)=0,"",B$1)</f>
        <v/>
      </c>
      <c r="C66" t="str">
        <f t="shared" ca="1" si="24"/>
        <v/>
      </c>
      <c r="D66" t="str">
        <f t="shared" ca="1" si="24"/>
        <v>Paul</v>
      </c>
      <c r="E66" t="str">
        <f t="shared" ca="1" si="24"/>
        <v>Megan</v>
      </c>
      <c r="F66" t="str">
        <f t="shared" ca="1" si="24"/>
        <v/>
      </c>
      <c r="G66" t="str">
        <f t="shared" ca="1" si="24"/>
        <v/>
      </c>
      <c r="H66" t="str">
        <f t="shared" ca="1" si="24"/>
        <v/>
      </c>
      <c r="I66" t="str">
        <f t="shared" ca="1" si="24"/>
        <v/>
      </c>
      <c r="J66" t="str">
        <f t="shared" ca="1" si="24"/>
        <v/>
      </c>
      <c r="K66" t="str">
        <f t="shared" ca="1" si="24"/>
        <v/>
      </c>
      <c r="L66" t="str">
        <f t="shared" ca="1" si="24"/>
        <v/>
      </c>
      <c r="M66" t="str">
        <f t="shared" ca="1" si="24"/>
        <v/>
      </c>
      <c r="N66" t="str">
        <f t="shared" ca="1" si="24"/>
        <v/>
      </c>
      <c r="O66" t="str">
        <f t="shared" ca="1" si="24"/>
        <v/>
      </c>
      <c r="P66" t="str">
        <f t="shared" ca="1" si="24"/>
        <v/>
      </c>
      <c r="Q66" t="str">
        <f t="shared" ca="1" si="24"/>
        <v/>
      </c>
      <c r="R66" t="str">
        <f t="shared" ca="1" si="24"/>
        <v/>
      </c>
      <c r="S66" s="13"/>
      <c r="T66" s="13"/>
      <c r="U66" s="13"/>
      <c r="V66" s="13"/>
    </row>
    <row r="67" spans="1:22" x14ac:dyDescent="0.25">
      <c r="A67" t="str">
        <f ca="1">Game!H304</f>
        <v>Christmas</v>
      </c>
      <c r="B67" t="str">
        <f ca="1">IF(B66="","",INDEX(B$2:B$18,MATCH($A$67,$A$2:$A$18,0)))</f>
        <v/>
      </c>
      <c r="C67" t="str">
        <f ca="1">IF(C66="","",INDEX(C$2:C$18,MATCH($A$67,$A$2:$A$18,0)))</f>
        <v/>
      </c>
      <c r="D67">
        <f ca="1">IF(D66="","",INDEX(D$2:D$18,MATCH($A$67,$A$2:$A$18,0)))</f>
        <v>53.29140447056318</v>
      </c>
      <c r="E67">
        <f t="shared" ref="E67:R67" ca="1" si="25">IF(E66="","",INDEX(E$2:E$18,MATCH($A$67,$A$2:$A$18,0)))</f>
        <v>7.1318867821929848</v>
      </c>
      <c r="F67" t="str">
        <f t="shared" ca="1" si="25"/>
        <v/>
      </c>
      <c r="G67" t="str">
        <f t="shared" ca="1" si="25"/>
        <v/>
      </c>
      <c r="H67" t="str">
        <f t="shared" ca="1" si="25"/>
        <v/>
      </c>
      <c r="I67" t="str">
        <f t="shared" ca="1" si="25"/>
        <v/>
      </c>
      <c r="J67" t="str">
        <f t="shared" ca="1" si="25"/>
        <v/>
      </c>
      <c r="K67" t="str">
        <f t="shared" ca="1" si="25"/>
        <v/>
      </c>
      <c r="L67" t="str">
        <f t="shared" ca="1" si="25"/>
        <v/>
      </c>
      <c r="M67" t="str">
        <f t="shared" ca="1" si="25"/>
        <v/>
      </c>
      <c r="N67" t="str">
        <f t="shared" ca="1" si="25"/>
        <v/>
      </c>
      <c r="O67" t="str">
        <f t="shared" ca="1" si="25"/>
        <v/>
      </c>
      <c r="P67" t="str">
        <f t="shared" ca="1" si="25"/>
        <v/>
      </c>
      <c r="Q67" t="str">
        <f t="shared" ca="1" si="25"/>
        <v/>
      </c>
      <c r="R67" t="str">
        <f t="shared" ca="1" si="25"/>
        <v/>
      </c>
      <c r="S67" s="13"/>
      <c r="T67" s="13"/>
      <c r="U67" s="13"/>
      <c r="V67" s="13"/>
    </row>
    <row r="68" spans="1:22" x14ac:dyDescent="0.25">
      <c r="A68">
        <f ca="1">LARGE(B67:R67,1)</f>
        <v>53.29140447056318</v>
      </c>
      <c r="E68" s="13"/>
      <c r="F68" s="13"/>
      <c r="G68" s="13"/>
      <c r="H68" s="13"/>
      <c r="I68" s="13"/>
      <c r="J68" s="13"/>
      <c r="K68" s="13"/>
      <c r="L68" s="13"/>
      <c r="M68" s="13"/>
      <c r="N68" s="13"/>
      <c r="O68" s="13"/>
      <c r="P68" s="13"/>
      <c r="Q68" s="13"/>
      <c r="R68" s="13"/>
      <c r="S68" s="13"/>
      <c r="T68" s="13"/>
      <c r="U68" s="13"/>
      <c r="V68" s="13"/>
    </row>
    <row r="69" spans="1:22" x14ac:dyDescent="0.25">
      <c r="A69" t="str">
        <f ca="1">IF(A68&lt;=A66-1,"Neither Nominee",INDEX(B66:R66,MATCH(A68,B67:R67,0)))</f>
        <v>Neither Nominee</v>
      </c>
      <c r="E69" s="13"/>
      <c r="F69" s="13"/>
      <c r="G69" s="13"/>
      <c r="H69" s="13"/>
      <c r="I69" s="13"/>
      <c r="J69" s="13"/>
      <c r="K69" s="13"/>
      <c r="L69" s="13"/>
      <c r="M69" s="13"/>
      <c r="N69" s="13"/>
      <c r="O69" s="13"/>
      <c r="P69" s="13"/>
      <c r="Q69" s="13"/>
      <c r="R69" s="13"/>
      <c r="S69" s="13"/>
      <c r="T69" s="13"/>
      <c r="U69" s="13"/>
      <c r="V69" s="13"/>
    </row>
    <row r="70" spans="1:22" x14ac:dyDescent="0.25">
      <c r="A70" s="13"/>
      <c r="B70" s="13"/>
      <c r="C70" s="13"/>
      <c r="D70" s="13"/>
      <c r="E70" s="13"/>
      <c r="F70" s="13"/>
      <c r="G70" s="13"/>
      <c r="H70" s="13"/>
      <c r="I70" s="13"/>
      <c r="J70" s="13"/>
      <c r="K70" s="13"/>
      <c r="L70" s="13"/>
      <c r="M70" s="13"/>
      <c r="N70" s="13"/>
      <c r="O70" s="13"/>
      <c r="P70" s="13"/>
      <c r="Q70" s="13"/>
      <c r="R70" s="13"/>
      <c r="S70" s="13"/>
      <c r="T70" s="13"/>
      <c r="U70" s="13"/>
      <c r="V70" s="13"/>
    </row>
    <row r="71" spans="1:22" x14ac:dyDescent="0.25">
      <c r="A71" s="13"/>
      <c r="B71" s="13" t="str">
        <f ca="1">B48</f>
        <v>Raven</v>
      </c>
      <c r="C71" s="13" t="str">
        <f ca="1">C48</f>
        <v>Ramses</v>
      </c>
      <c r="D71" s="13" t="str">
        <f t="shared" ref="D71:R71" ca="1" si="26">D48</f>
        <v>Paul</v>
      </c>
      <c r="E71" s="13" t="str">
        <f t="shared" ca="1" si="26"/>
        <v>Megan</v>
      </c>
      <c r="F71" s="13" t="str">
        <f t="shared" ca="1" si="26"/>
        <v>Matt</v>
      </c>
      <c r="G71" s="13" t="str">
        <f t="shared" ca="1" si="26"/>
        <v>Mark</v>
      </c>
      <c r="H71" s="13" t="str">
        <f t="shared" ca="1" si="26"/>
        <v>Kevin</v>
      </c>
      <c r="I71" s="13" t="str">
        <f t="shared" ca="1" si="26"/>
        <v>Josh</v>
      </c>
      <c r="J71" s="13" t="str">
        <f t="shared" ca="1" si="26"/>
        <v>Jillian</v>
      </c>
      <c r="K71" s="13" t="str">
        <f t="shared" ca="1" si="26"/>
        <v>Jessica</v>
      </c>
      <c r="L71" s="13" t="str">
        <f t="shared" ca="1" si="26"/>
        <v>Jason</v>
      </c>
      <c r="M71" s="13" t="str">
        <f t="shared" ca="1" si="26"/>
        <v>Elena</v>
      </c>
      <c r="N71" s="13" t="str">
        <f t="shared" ca="1" si="26"/>
        <v/>
      </c>
      <c r="O71" s="13" t="str">
        <f t="shared" ca="1" si="26"/>
        <v>Cody</v>
      </c>
      <c r="P71" s="13" t="str">
        <f t="shared" ca="1" si="26"/>
        <v>Christmas</v>
      </c>
      <c r="Q71" s="13" t="str">
        <f t="shared" ca="1" si="26"/>
        <v>Cameron</v>
      </c>
      <c r="R71" s="13" t="str">
        <f t="shared" ca="1" si="26"/>
        <v>Alex</v>
      </c>
      <c r="S71" s="13"/>
      <c r="T71" s="13"/>
      <c r="U71" s="13"/>
      <c r="V71" s="13"/>
    </row>
    <row r="72" spans="1:22" x14ac:dyDescent="0.25">
      <c r="A72" s="13" t="str">
        <f ca="1">Game!G315</f>
        <v>Paul</v>
      </c>
      <c r="B72">
        <f t="shared" ref="B72:F73" ca="1" si="27">IF(B71="","",INDEX(B$2:B$18,MATCH($A72,$A$2:$A$18,0)))</f>
        <v>3.2624021588646253</v>
      </c>
      <c r="C72">
        <f t="shared" ca="1" si="27"/>
        <v>73.374904379002274</v>
      </c>
      <c r="D72">
        <f t="shared" ca="1" si="27"/>
        <v>101</v>
      </c>
      <c r="E72">
        <f t="shared" ca="1" si="27"/>
        <v>77.085964602047639</v>
      </c>
      <c r="F72">
        <f t="shared" ca="1" si="27"/>
        <v>67.088670351686758</v>
      </c>
      <c r="G72">
        <f t="shared" ref="G72:R73" ca="1" si="28">IF(G71="","",INDEX(G$2:G$18,MATCH($A72,$A$2:$A$18,0)))</f>
        <v>33.124008590904644</v>
      </c>
      <c r="H72">
        <f t="shared" ca="1" si="28"/>
        <v>50.352507955622592</v>
      </c>
      <c r="I72">
        <f t="shared" ca="1" si="28"/>
        <v>12.100603246962368</v>
      </c>
      <c r="J72">
        <f t="shared" ca="1" si="28"/>
        <v>77.05886219496287</v>
      </c>
      <c r="K72">
        <f t="shared" ca="1" si="28"/>
        <v>50.053327478035513</v>
      </c>
      <c r="L72">
        <f t="shared" ca="1" si="28"/>
        <v>42.41311274915639</v>
      </c>
      <c r="M72">
        <f t="shared" ca="1" si="28"/>
        <v>41.015339216176564</v>
      </c>
      <c r="N72" t="str">
        <f t="shared" ca="1" si="28"/>
        <v/>
      </c>
      <c r="O72">
        <f t="shared" ca="1" si="28"/>
        <v>29.125927884074365</v>
      </c>
      <c r="P72">
        <f t="shared" ca="1" si="28"/>
        <v>53.29140447056318</v>
      </c>
      <c r="Q72">
        <f t="shared" ca="1" si="28"/>
        <v>10.126848194985453</v>
      </c>
      <c r="R72">
        <f t="shared" ca="1" si="28"/>
        <v>9.0531646568378896</v>
      </c>
      <c r="S72" s="13"/>
      <c r="T72" s="13"/>
      <c r="U72" s="13"/>
      <c r="V72" s="13"/>
    </row>
    <row r="73" spans="1:22" x14ac:dyDescent="0.25">
      <c r="A73" s="13" t="str">
        <f ca="1">Game!G316</f>
        <v>Megan</v>
      </c>
      <c r="B73">
        <f t="shared" ca="1" si="27"/>
        <v>10.140565248618941</v>
      </c>
      <c r="C73">
        <f t="shared" ca="1" si="27"/>
        <v>54.337913644821178</v>
      </c>
      <c r="D73">
        <f t="shared" ca="1" si="27"/>
        <v>77.085964602047639</v>
      </c>
      <c r="E73">
        <f t="shared" ca="1" si="27"/>
        <v>101</v>
      </c>
      <c r="F73">
        <f t="shared" ca="1" si="27"/>
        <v>72.313428826708588</v>
      </c>
      <c r="G73">
        <f t="shared" ca="1" si="28"/>
        <v>7.442508972552484</v>
      </c>
      <c r="H73">
        <f t="shared" ca="1" si="28"/>
        <v>2.3561536018883249</v>
      </c>
      <c r="I73">
        <f t="shared" ca="1" si="28"/>
        <v>39.032209215594364</v>
      </c>
      <c r="J73">
        <f t="shared" ca="1" si="28"/>
        <v>67.02518921112113</v>
      </c>
      <c r="K73">
        <f t="shared" ca="1" si="28"/>
        <v>28.04830338810412</v>
      </c>
      <c r="L73">
        <f t="shared" ca="1" si="28"/>
        <v>79.425080473582895</v>
      </c>
      <c r="M73">
        <f t="shared" ca="1" si="28"/>
        <v>22.384831157245035</v>
      </c>
      <c r="N73" t="str">
        <f t="shared" ca="1" si="28"/>
        <v/>
      </c>
      <c r="O73">
        <f t="shared" ca="1" si="28"/>
        <v>18.048940847008435</v>
      </c>
      <c r="P73">
        <f t="shared" ca="1" si="28"/>
        <v>7.1318867821929848</v>
      </c>
      <c r="Q73">
        <f t="shared" ca="1" si="28"/>
        <v>61.288270954429585</v>
      </c>
      <c r="R73">
        <f t="shared" ca="1" si="28"/>
        <v>54.092933100007563</v>
      </c>
      <c r="S73" s="13"/>
      <c r="T73" s="13"/>
      <c r="U73" s="13"/>
      <c r="V73" s="13"/>
    </row>
    <row r="74" spans="1:22" x14ac:dyDescent="0.25">
      <c r="A74" s="13"/>
      <c r="B74" t="str">
        <f ca="1">IF(B71="","",INDEX($A72:$A73,MATCH(SMALL(B72:B73,1),B72:B73,0)))</f>
        <v>Paul</v>
      </c>
      <c r="C74" t="str">
        <f t="shared" ref="C74:R74" ca="1" si="29">IF(C71="","",INDEX($A72:$A73,MATCH(SMALL(C72:C73,1),C72:C73,0)))</f>
        <v>Megan</v>
      </c>
      <c r="D74" t="str">
        <f t="shared" ca="1" si="29"/>
        <v>Megan</v>
      </c>
      <c r="E74" t="str">
        <f t="shared" ca="1" si="29"/>
        <v>Paul</v>
      </c>
      <c r="F74" t="str">
        <f t="shared" ca="1" si="29"/>
        <v>Paul</v>
      </c>
      <c r="G74" t="str">
        <f t="shared" ca="1" si="29"/>
        <v>Megan</v>
      </c>
      <c r="H74" t="str">
        <f t="shared" ca="1" si="29"/>
        <v>Megan</v>
      </c>
      <c r="I74" t="str">
        <f t="shared" ca="1" si="29"/>
        <v>Paul</v>
      </c>
      <c r="J74" t="str">
        <f t="shared" ca="1" si="29"/>
        <v>Megan</v>
      </c>
      <c r="K74" t="str">
        <f t="shared" ca="1" si="29"/>
        <v>Megan</v>
      </c>
      <c r="L74" t="str">
        <f t="shared" ca="1" si="29"/>
        <v>Paul</v>
      </c>
      <c r="M74" t="str">
        <f t="shared" ca="1" si="29"/>
        <v>Megan</v>
      </c>
      <c r="N74" t="str">
        <f t="shared" ca="1" si="29"/>
        <v/>
      </c>
      <c r="O74" t="str">
        <f t="shared" ca="1" si="29"/>
        <v>Megan</v>
      </c>
      <c r="P74" t="str">
        <f t="shared" ca="1" si="29"/>
        <v>Megan</v>
      </c>
      <c r="Q74" t="str">
        <f t="shared" ca="1" si="29"/>
        <v>Paul</v>
      </c>
      <c r="R74" t="str">
        <f t="shared" ca="1" si="29"/>
        <v>Paul</v>
      </c>
      <c r="S74" s="13"/>
      <c r="T74" s="13"/>
      <c r="U74" s="13"/>
      <c r="V74" s="13"/>
    </row>
    <row r="75" spans="1:22" x14ac:dyDescent="0.25">
      <c r="A75" s="13"/>
      <c r="B75" s="13"/>
      <c r="C75" s="13"/>
      <c r="D75" s="13"/>
      <c r="E75" s="13"/>
      <c r="F75" s="13"/>
      <c r="G75" s="13"/>
      <c r="H75" s="13"/>
      <c r="I75" s="13"/>
      <c r="J75" s="13"/>
      <c r="K75" s="13"/>
      <c r="L75" s="13"/>
      <c r="M75" s="13"/>
      <c r="N75" s="13"/>
      <c r="O75" s="13"/>
      <c r="P75" s="13"/>
      <c r="Q75" s="13"/>
      <c r="R75" s="13"/>
      <c r="S75" s="13"/>
      <c r="T75" s="13"/>
      <c r="U75" s="13"/>
      <c r="V75" s="13"/>
    </row>
    <row r="76" spans="1:22" x14ac:dyDescent="0.25">
      <c r="A76" s="13" t="str">
        <f ca="1">Game!K349</f>
        <v>Kevin</v>
      </c>
      <c r="B76" s="13" t="str">
        <f t="shared" ref="B76:R76" ca="1" si="30">IF(B48="","",IF($A$76=B48,"",B48))</f>
        <v>Raven</v>
      </c>
      <c r="C76" s="13" t="str">
        <f t="shared" ca="1" si="30"/>
        <v>Ramses</v>
      </c>
      <c r="D76" s="13" t="str">
        <f t="shared" ca="1" si="30"/>
        <v>Paul</v>
      </c>
      <c r="E76" s="13" t="str">
        <f t="shared" ca="1" si="30"/>
        <v>Megan</v>
      </c>
      <c r="F76" s="13" t="str">
        <f t="shared" ca="1" si="30"/>
        <v>Matt</v>
      </c>
      <c r="G76" s="13" t="str">
        <f t="shared" ca="1" si="30"/>
        <v>Mark</v>
      </c>
      <c r="H76" s="13" t="str">
        <f t="shared" ca="1" si="30"/>
        <v/>
      </c>
      <c r="I76" s="13" t="str">
        <f t="shared" ca="1" si="30"/>
        <v>Josh</v>
      </c>
      <c r="J76" s="13" t="str">
        <f t="shared" ca="1" si="30"/>
        <v>Jillian</v>
      </c>
      <c r="K76" s="13" t="str">
        <f t="shared" ca="1" si="30"/>
        <v>Jessica</v>
      </c>
      <c r="L76" s="13" t="str">
        <f t="shared" ca="1" si="30"/>
        <v>Jason</v>
      </c>
      <c r="M76" s="13" t="str">
        <f t="shared" ca="1" si="30"/>
        <v>Elena</v>
      </c>
      <c r="N76" s="13" t="str">
        <f t="shared" ca="1" si="30"/>
        <v/>
      </c>
      <c r="O76" s="13" t="str">
        <f t="shared" ca="1" si="30"/>
        <v>Cody</v>
      </c>
      <c r="P76" s="13" t="str">
        <f t="shared" ca="1" si="30"/>
        <v>Christmas</v>
      </c>
      <c r="Q76" s="13" t="str">
        <f t="shared" ca="1" si="30"/>
        <v>Cameron</v>
      </c>
      <c r="R76" s="13" t="str">
        <f t="shared" ca="1" si="30"/>
        <v>Alex</v>
      </c>
      <c r="S76" s="13"/>
      <c r="T76" s="13"/>
      <c r="U76" s="13"/>
      <c r="V76" s="13"/>
    </row>
    <row r="77" spans="1:22" x14ac:dyDescent="0.25">
      <c r="A77" s="13"/>
      <c r="B77" s="13" t="str">
        <f ca="1">IF(B76="","",IF(B49=$A$76,B50,B49))</f>
        <v>Jessica</v>
      </c>
      <c r="C77" s="13" t="str">
        <f t="shared" ref="C77:R77" ca="1" si="31">IF(C76="","",IF(C49=$A$76,C50,C49))</f>
        <v>Christmas</v>
      </c>
      <c r="D77" s="13" t="str">
        <f t="shared" ca="1" si="31"/>
        <v>Megan</v>
      </c>
      <c r="E77" s="13" t="str">
        <f t="shared" ca="1" si="31"/>
        <v>Jason</v>
      </c>
      <c r="F77" s="13" t="str">
        <f t="shared" ca="1" si="31"/>
        <v>Christmas</v>
      </c>
      <c r="G77" s="13" t="str">
        <f t="shared" ca="1" si="31"/>
        <v>Alex</v>
      </c>
      <c r="H77" s="13" t="str">
        <f t="shared" ca="1" si="31"/>
        <v/>
      </c>
      <c r="I77" s="13" t="str">
        <f t="shared" ca="1" si="31"/>
        <v>Ramses</v>
      </c>
      <c r="J77" s="13" t="str">
        <f t="shared" ca="1" si="31"/>
        <v>Paul</v>
      </c>
      <c r="K77" s="13" t="str">
        <f t="shared" ca="1" si="31"/>
        <v>Raven</v>
      </c>
      <c r="L77" s="13" t="str">
        <f t="shared" ca="1" si="31"/>
        <v>Matt</v>
      </c>
      <c r="M77" s="13" t="str">
        <f t="shared" ca="1" si="31"/>
        <v>Cody</v>
      </c>
      <c r="N77" s="13" t="str">
        <f t="shared" ca="1" si="31"/>
        <v/>
      </c>
      <c r="O77" s="13" t="str">
        <f t="shared" ca="1" si="31"/>
        <v>Elena</v>
      </c>
      <c r="P77" s="13" t="str">
        <f t="shared" ca="1" si="31"/>
        <v>Matt</v>
      </c>
      <c r="Q77" s="13" t="str">
        <f t="shared" ca="1" si="31"/>
        <v>Alex</v>
      </c>
      <c r="R77" s="13" t="str">
        <f t="shared" ca="1" si="31"/>
        <v>Mark</v>
      </c>
      <c r="S77" s="13"/>
      <c r="T77" s="13"/>
      <c r="U77" s="13"/>
      <c r="V77" s="13"/>
    </row>
    <row r="78" spans="1:22" x14ac:dyDescent="0.25">
      <c r="A78" s="13"/>
      <c r="B78" s="13" t="str">
        <f t="shared" ref="B78:B90" ca="1" si="32">IF(B77="","",IF(B77=B50,B51,IF(B50=$A$76,B51,B50)))</f>
        <v>Cody</v>
      </c>
      <c r="C78" s="13" t="str">
        <f t="shared" ref="C78:R78" ca="1" si="33">IF(C77="","",IF(C77=C50,C51,IF(C50=$A$76,C51,C50)))</f>
        <v>Josh</v>
      </c>
      <c r="D78" s="13" t="str">
        <f t="shared" ca="1" si="33"/>
        <v>Jillian</v>
      </c>
      <c r="E78" s="13" t="str">
        <f t="shared" ca="1" si="33"/>
        <v>Paul</v>
      </c>
      <c r="F78" s="13" t="str">
        <f t="shared" ca="1" si="33"/>
        <v>Jason</v>
      </c>
      <c r="G78" s="13" t="str">
        <f t="shared" ca="1" si="33"/>
        <v>Christmas</v>
      </c>
      <c r="H78" s="13" t="str">
        <f t="shared" ca="1" si="33"/>
        <v/>
      </c>
      <c r="I78" s="13" t="str">
        <f t="shared" ca="1" si="33"/>
        <v>Matt</v>
      </c>
      <c r="J78" s="13" t="str">
        <f t="shared" ca="1" si="33"/>
        <v>Ramses</v>
      </c>
      <c r="K78" s="13" t="str">
        <f t="shared" ca="1" si="33"/>
        <v>Elena</v>
      </c>
      <c r="L78" s="13" t="str">
        <f t="shared" ca="1" si="33"/>
        <v>Megan</v>
      </c>
      <c r="M78" s="13" t="str">
        <f t="shared" ca="1" si="33"/>
        <v>Alex</v>
      </c>
      <c r="N78" s="13" t="str">
        <f t="shared" ca="1" si="33"/>
        <v/>
      </c>
      <c r="O78" s="13" t="str">
        <f t="shared" ca="1" si="33"/>
        <v>Matt</v>
      </c>
      <c r="P78" s="13" t="str">
        <f t="shared" ca="1" si="33"/>
        <v>Ramses</v>
      </c>
      <c r="Q78" s="13" t="str">
        <f t="shared" ca="1" si="33"/>
        <v>Cody</v>
      </c>
      <c r="R78" s="13" t="str">
        <f t="shared" ca="1" si="33"/>
        <v>Cameron</v>
      </c>
      <c r="S78" s="13"/>
      <c r="T78" s="13"/>
      <c r="U78" s="13"/>
      <c r="V78" s="13"/>
    </row>
    <row r="79" spans="1:22" x14ac:dyDescent="0.25">
      <c r="A79" s="13"/>
      <c r="B79" s="13" t="str">
        <f t="shared" ca="1" si="32"/>
        <v>Ramses</v>
      </c>
      <c r="C79" s="13" t="str">
        <f t="shared" ref="C79:C90" ca="1" si="34">IF(C78="","",IF(C78=C51,C52,IF(C51=$A$76,C52,C51)))</f>
        <v>Paul</v>
      </c>
      <c r="D79" s="13" t="str">
        <f t="shared" ref="D79:D90" ca="1" si="35">IF(D78="","",IF(D78=D51,D52,IF(D51=$A$76,D52,D51)))</f>
        <v>Ramses</v>
      </c>
      <c r="E79" s="13" t="str">
        <f t="shared" ref="E79:E90" ca="1" si="36">IF(E78="","",IF(E78=E51,E52,IF(E51=$A$76,E52,E51)))</f>
        <v>Matt</v>
      </c>
      <c r="F79" s="13" t="str">
        <f t="shared" ref="F79:F90" ca="1" si="37">IF(F78="","",IF(F78=F51,F52,IF(F51=$A$76,F52,F51)))</f>
        <v>Cody</v>
      </c>
      <c r="G79" s="13" t="str">
        <f t="shared" ref="G79:G90" ca="1" si="38">IF(G78="","",IF(G78=G51,G52,IF(G51=$A$76,G52,G51)))</f>
        <v>Jessica</v>
      </c>
      <c r="H79" s="13" t="str">
        <f t="shared" ref="H79:H90" ca="1" si="39">IF(H78="","",IF(H78=H51,H52,IF(H51=$A$76,H52,H51)))</f>
        <v/>
      </c>
      <c r="I79" s="13" t="str">
        <f t="shared" ref="I79:I90" ca="1" si="40">IF(I78="","",IF(I78=I51,I52,IF(I51=$A$76,I52,I51)))</f>
        <v>Cody</v>
      </c>
      <c r="J79" s="13" t="str">
        <f t="shared" ref="J79:J90" ca="1" si="41">IF(J78="","",IF(J78=J51,J52,IF(J51=$A$76,J52,J51)))</f>
        <v>Jason</v>
      </c>
      <c r="K79" s="13" t="str">
        <f t="shared" ref="K79:K90" ca="1" si="42">IF(K78="","",IF(K78=K51,K52,IF(K51=$A$76,K52,K51)))</f>
        <v>Christmas</v>
      </c>
      <c r="L79" s="13" t="str">
        <f t="shared" ref="L79:L90" ca="1" si="43">IF(L78="","",IF(L78=L51,L52,IF(L51=$A$76,L52,L51)))</f>
        <v>Jillian</v>
      </c>
      <c r="M79" s="13" t="str">
        <f t="shared" ref="M79:M90" ca="1" si="44">IF(M78="","",IF(M78=M51,M52,IF(M51=$A$76,M52,M51)))</f>
        <v>Jessica</v>
      </c>
      <c r="N79" s="13" t="str">
        <f t="shared" ref="N79:N90" ca="1" si="45">IF(N78="","",IF(N78=N51,N52,IF(N51=$A$76,N52,N51)))</f>
        <v/>
      </c>
      <c r="O79" s="13" t="str">
        <f t="shared" ref="O79:O90" ca="1" si="46">IF(O78="","",IF(O78=O51,O52,IF(O51=$A$76,O52,O51)))</f>
        <v>Raven</v>
      </c>
      <c r="P79" s="13" t="str">
        <f t="shared" ref="P79:P90" ca="1" si="47">IF(P78="","",IF(P78=P51,P52,IF(P51=$A$76,P52,P51)))</f>
        <v>Mark</v>
      </c>
      <c r="Q79" s="13" t="str">
        <f t="shared" ref="Q79:Q90" ca="1" si="48">IF(Q78="","",IF(Q78=Q51,Q52,IF(Q51=$A$76,Q52,Q51)))</f>
        <v>Matt</v>
      </c>
      <c r="R79" s="13" t="str">
        <f t="shared" ref="R79:R90" ca="1" si="49">IF(R78="","",IF(R78=R51,R52,IF(R51=$A$76,R52,R51)))</f>
        <v>Elena</v>
      </c>
      <c r="S79" s="13"/>
      <c r="T79" s="13"/>
      <c r="U79" s="13"/>
      <c r="V79" s="13"/>
    </row>
    <row r="80" spans="1:22" x14ac:dyDescent="0.25">
      <c r="A80" s="13"/>
      <c r="B80" s="13" t="str">
        <f t="shared" ca="1" si="32"/>
        <v>Elena</v>
      </c>
      <c r="C80" s="13" t="str">
        <f t="shared" ca="1" si="34"/>
        <v>Jillian</v>
      </c>
      <c r="D80" s="13" t="str">
        <f t="shared" ca="1" si="35"/>
        <v>Matt</v>
      </c>
      <c r="E80" s="13" t="str">
        <f t="shared" ca="1" si="36"/>
        <v>Jillian</v>
      </c>
      <c r="F80" s="13" t="str">
        <f t="shared" ca="1" si="37"/>
        <v>Megan</v>
      </c>
      <c r="G80" s="13" t="str">
        <f t="shared" ca="1" si="38"/>
        <v>Jason</v>
      </c>
      <c r="H80" s="13" t="str">
        <f t="shared" ca="1" si="39"/>
        <v/>
      </c>
      <c r="I80" s="13" t="str">
        <f t="shared" ca="1" si="40"/>
        <v>Alex</v>
      </c>
      <c r="J80" s="13" t="str">
        <f t="shared" ca="1" si="41"/>
        <v>Megan</v>
      </c>
      <c r="K80" s="13" t="str">
        <f t="shared" ca="1" si="42"/>
        <v>Mark</v>
      </c>
      <c r="L80" s="13" t="str">
        <f t="shared" ca="1" si="43"/>
        <v>Alex</v>
      </c>
      <c r="M80" s="13" t="str">
        <f t="shared" ca="1" si="44"/>
        <v>Christmas</v>
      </c>
      <c r="N80" s="13" t="str">
        <f t="shared" ca="1" si="45"/>
        <v/>
      </c>
      <c r="O80" s="13" t="str">
        <f t="shared" ca="1" si="46"/>
        <v>Cameron</v>
      </c>
      <c r="P80" s="13" t="str">
        <f t="shared" ca="1" si="47"/>
        <v>Jessica</v>
      </c>
      <c r="Q80" s="13" t="str">
        <f t="shared" ca="1" si="48"/>
        <v>Jillian</v>
      </c>
      <c r="R80" s="13" t="str">
        <f t="shared" ca="1" si="49"/>
        <v>Jason</v>
      </c>
      <c r="S80" s="13"/>
      <c r="T80" s="13"/>
      <c r="U80" s="13"/>
      <c r="V80" s="13"/>
    </row>
    <row r="81" spans="1:22" x14ac:dyDescent="0.25">
      <c r="A81" s="13"/>
      <c r="B81" s="13" t="str">
        <f t="shared" ca="1" si="32"/>
        <v>Christmas</v>
      </c>
      <c r="C81" s="13" t="str">
        <f t="shared" ca="1" si="34"/>
        <v>Raven</v>
      </c>
      <c r="D81" s="13" t="str">
        <f t="shared" ca="1" si="35"/>
        <v>Christmas</v>
      </c>
      <c r="E81" s="13" t="str">
        <f t="shared" ca="1" si="36"/>
        <v>Cameron</v>
      </c>
      <c r="F81" s="13" t="str">
        <f t="shared" ca="1" si="37"/>
        <v>Cameron</v>
      </c>
      <c r="G81" s="13" t="str">
        <f t="shared" ca="1" si="38"/>
        <v>Jillian</v>
      </c>
      <c r="H81" s="13" t="str">
        <f t="shared" ca="1" si="39"/>
        <v/>
      </c>
      <c r="I81" s="13" t="str">
        <f t="shared" ca="1" si="40"/>
        <v>Jillian</v>
      </c>
      <c r="J81" s="13" t="str">
        <f t="shared" ca="1" si="41"/>
        <v>Cameron</v>
      </c>
      <c r="K81" s="13" t="str">
        <f t="shared" ca="1" si="42"/>
        <v>Ramses</v>
      </c>
      <c r="L81" s="13" t="str">
        <f t="shared" ca="1" si="43"/>
        <v>Jessica</v>
      </c>
      <c r="M81" s="13" t="str">
        <f t="shared" ca="1" si="44"/>
        <v>Jillian</v>
      </c>
      <c r="N81" s="13" t="str">
        <f t="shared" ca="1" si="45"/>
        <v/>
      </c>
      <c r="O81" s="13" t="str">
        <f t="shared" ca="1" si="46"/>
        <v>Josh</v>
      </c>
      <c r="P81" s="13" t="str">
        <f t="shared" ca="1" si="47"/>
        <v>Elena</v>
      </c>
      <c r="Q81" s="13" t="str">
        <f t="shared" ca="1" si="48"/>
        <v>Megan</v>
      </c>
      <c r="R81" s="13" t="str">
        <f t="shared" ca="1" si="49"/>
        <v>Jillian</v>
      </c>
      <c r="S81" s="13"/>
      <c r="T81" s="13"/>
      <c r="U81" s="13"/>
      <c r="V81" s="13"/>
    </row>
    <row r="82" spans="1:22" x14ac:dyDescent="0.25">
      <c r="A82" s="13"/>
      <c r="B82" s="13" t="str">
        <f t="shared" ca="1" si="32"/>
        <v>Cameron</v>
      </c>
      <c r="C82" s="13" t="str">
        <f t="shared" ca="1" si="34"/>
        <v>Megan</v>
      </c>
      <c r="D82" s="13" t="str">
        <f t="shared" ca="1" si="35"/>
        <v>Jessica</v>
      </c>
      <c r="E82" s="13" t="str">
        <f t="shared" ca="1" si="36"/>
        <v>Ramses</v>
      </c>
      <c r="F82" s="13" t="str">
        <f t="shared" ca="1" si="37"/>
        <v>Josh</v>
      </c>
      <c r="G82" s="13" t="str">
        <f t="shared" ca="1" si="38"/>
        <v>Elena</v>
      </c>
      <c r="H82" s="13" t="str">
        <f t="shared" ca="1" si="39"/>
        <v/>
      </c>
      <c r="I82" s="13" t="str">
        <f t="shared" ca="1" si="40"/>
        <v>Cameron</v>
      </c>
      <c r="J82" s="13" t="str">
        <f t="shared" ca="1" si="41"/>
        <v>Elena</v>
      </c>
      <c r="K82" s="13" t="str">
        <f t="shared" ca="1" si="42"/>
        <v>Jason</v>
      </c>
      <c r="L82" s="13" t="str">
        <f t="shared" ca="1" si="43"/>
        <v>Mark</v>
      </c>
      <c r="M82" s="13" t="str">
        <f t="shared" ca="1" si="44"/>
        <v>Raven</v>
      </c>
      <c r="N82" s="13" t="str">
        <f t="shared" ca="1" si="45"/>
        <v/>
      </c>
      <c r="O82" s="13" t="str">
        <f t="shared" ca="1" si="46"/>
        <v>Jillian</v>
      </c>
      <c r="P82" s="13" t="str">
        <f t="shared" ca="1" si="47"/>
        <v>Paul</v>
      </c>
      <c r="Q82" s="13" t="str">
        <f t="shared" ca="1" si="48"/>
        <v>Raven</v>
      </c>
      <c r="R82" s="13" t="str">
        <f t="shared" ca="1" si="49"/>
        <v>Megan</v>
      </c>
      <c r="S82" s="13"/>
      <c r="T82" s="13"/>
      <c r="U82" s="13"/>
      <c r="V82" s="13"/>
    </row>
    <row r="83" spans="1:22" x14ac:dyDescent="0.25">
      <c r="A83" s="13"/>
      <c r="B83" s="13" t="str">
        <f t="shared" ca="1" si="32"/>
        <v>Alex</v>
      </c>
      <c r="C83" s="13" t="str">
        <f t="shared" ca="1" si="34"/>
        <v>Jessica</v>
      </c>
      <c r="D83" s="13" t="str">
        <f t="shared" ca="1" si="35"/>
        <v>Jason</v>
      </c>
      <c r="E83" s="13" t="str">
        <f t="shared" ca="1" si="36"/>
        <v>Alex</v>
      </c>
      <c r="F83" s="13" t="str">
        <f t="shared" ca="1" si="37"/>
        <v>Paul</v>
      </c>
      <c r="G83" s="13" t="str">
        <f t="shared" ca="1" si="38"/>
        <v>Paul</v>
      </c>
      <c r="H83" s="13" t="str">
        <f t="shared" ca="1" si="39"/>
        <v/>
      </c>
      <c r="I83" s="13" t="str">
        <f t="shared" ca="1" si="40"/>
        <v>Megan</v>
      </c>
      <c r="J83" s="13" t="str">
        <f t="shared" ca="1" si="41"/>
        <v>Alex</v>
      </c>
      <c r="K83" s="13" t="str">
        <f t="shared" ca="1" si="42"/>
        <v>Paul</v>
      </c>
      <c r="L83" s="13" t="str">
        <f t="shared" ca="1" si="43"/>
        <v>Paul</v>
      </c>
      <c r="M83" s="13" t="str">
        <f t="shared" ca="1" si="44"/>
        <v>Mark</v>
      </c>
      <c r="N83" s="13" t="str">
        <f t="shared" ca="1" si="45"/>
        <v/>
      </c>
      <c r="O83" s="13" t="str">
        <f t="shared" ca="1" si="46"/>
        <v>Jessica</v>
      </c>
      <c r="P83" s="13" t="str">
        <f t="shared" ca="1" si="47"/>
        <v>Raven</v>
      </c>
      <c r="Q83" s="13" t="str">
        <f t="shared" ca="1" si="48"/>
        <v>Jessica</v>
      </c>
      <c r="R83" s="13" t="str">
        <f t="shared" ca="1" si="49"/>
        <v>Ramses</v>
      </c>
      <c r="S83" s="13"/>
      <c r="T83" s="13"/>
      <c r="U83" s="13"/>
      <c r="V83" s="13"/>
    </row>
    <row r="84" spans="1:22" x14ac:dyDescent="0.25">
      <c r="A84" s="13"/>
      <c r="B84" s="13" t="str">
        <f t="shared" ca="1" si="32"/>
        <v>Jason</v>
      </c>
      <c r="C84" s="13" t="str">
        <f t="shared" ca="1" si="34"/>
        <v>Matt</v>
      </c>
      <c r="D84" s="13" t="str">
        <f t="shared" ca="1" si="35"/>
        <v>Elena</v>
      </c>
      <c r="E84" s="13" t="str">
        <f t="shared" ca="1" si="36"/>
        <v>Josh</v>
      </c>
      <c r="F84" s="13" t="str">
        <f t="shared" ca="1" si="37"/>
        <v>Ramses</v>
      </c>
      <c r="G84" s="13" t="str">
        <f t="shared" ca="1" si="38"/>
        <v>Cody</v>
      </c>
      <c r="H84" s="13" t="str">
        <f t="shared" ca="1" si="39"/>
        <v/>
      </c>
      <c r="I84" s="13" t="str">
        <f t="shared" ca="1" si="40"/>
        <v>Jason</v>
      </c>
      <c r="J84" s="13" t="str">
        <f t="shared" ca="1" si="41"/>
        <v>Cody</v>
      </c>
      <c r="K84" s="13" t="str">
        <f t="shared" ca="1" si="42"/>
        <v>Cody</v>
      </c>
      <c r="L84" s="13" t="str">
        <f t="shared" ca="1" si="43"/>
        <v>Cody</v>
      </c>
      <c r="M84" s="13" t="str">
        <f t="shared" ca="1" si="44"/>
        <v>Paul</v>
      </c>
      <c r="N84" s="13" t="str">
        <f t="shared" ca="1" si="45"/>
        <v/>
      </c>
      <c r="O84" s="13" t="str">
        <f t="shared" ca="1" si="46"/>
        <v>Jason</v>
      </c>
      <c r="P84" s="13" t="str">
        <f t="shared" ca="1" si="47"/>
        <v>Jillian</v>
      </c>
      <c r="Q84" s="13" t="str">
        <f t="shared" ca="1" si="48"/>
        <v>Josh</v>
      </c>
      <c r="R84" s="13" t="str">
        <f t="shared" ca="1" si="49"/>
        <v>Josh</v>
      </c>
      <c r="S84" s="13"/>
      <c r="T84" s="13"/>
      <c r="U84" s="13"/>
      <c r="V84" s="13"/>
    </row>
    <row r="85" spans="1:22" x14ac:dyDescent="0.25">
      <c r="A85" s="13"/>
      <c r="B85" s="13" t="str">
        <f t="shared" ca="1" si="32"/>
        <v>Jillian</v>
      </c>
      <c r="C85" s="13" t="str">
        <f t="shared" ca="1" si="34"/>
        <v>Alex</v>
      </c>
      <c r="D85" s="13" t="str">
        <f t="shared" ca="1" si="35"/>
        <v>Mark</v>
      </c>
      <c r="E85" s="13" t="str">
        <f t="shared" ca="1" si="36"/>
        <v>Jessica</v>
      </c>
      <c r="F85" s="13" t="str">
        <f t="shared" ca="1" si="37"/>
        <v>Jessica</v>
      </c>
      <c r="G85" s="13" t="str">
        <f t="shared" ca="1" si="38"/>
        <v>Matt</v>
      </c>
      <c r="H85" s="13" t="str">
        <f t="shared" ca="1" si="39"/>
        <v/>
      </c>
      <c r="I85" s="13" t="str">
        <f t="shared" ca="1" si="40"/>
        <v>Jessica</v>
      </c>
      <c r="J85" s="13" t="str">
        <f t="shared" ca="1" si="41"/>
        <v>Christmas</v>
      </c>
      <c r="K85" s="13" t="str">
        <f t="shared" ca="1" si="42"/>
        <v>Cameron</v>
      </c>
      <c r="L85" s="13" t="str">
        <f t="shared" ca="1" si="43"/>
        <v>Josh</v>
      </c>
      <c r="M85" s="13" t="str">
        <f t="shared" ca="1" si="44"/>
        <v>Jason</v>
      </c>
      <c r="N85" s="13" t="str">
        <f t="shared" ca="1" si="45"/>
        <v/>
      </c>
      <c r="O85" s="13" t="str">
        <f t="shared" ca="1" si="46"/>
        <v>Paul</v>
      </c>
      <c r="P85" s="13" t="str">
        <f t="shared" ca="1" si="47"/>
        <v>Alex</v>
      </c>
      <c r="Q85" s="13" t="str">
        <f t="shared" ca="1" si="48"/>
        <v>Christmas</v>
      </c>
      <c r="R85" s="13" t="str">
        <f t="shared" ca="1" si="49"/>
        <v>Christmas</v>
      </c>
      <c r="S85" s="13"/>
      <c r="T85" s="13"/>
      <c r="U85" s="13"/>
      <c r="V85" s="13"/>
    </row>
    <row r="86" spans="1:22" x14ac:dyDescent="0.25">
      <c r="A86" s="13"/>
      <c r="B86" s="13" t="str">
        <f t="shared" ca="1" si="32"/>
        <v>Josh</v>
      </c>
      <c r="C86" s="13" t="str">
        <f t="shared" ca="1" si="34"/>
        <v>Mark</v>
      </c>
      <c r="D86" s="13" t="str">
        <f t="shared" ca="1" si="35"/>
        <v>Cody</v>
      </c>
      <c r="E86" s="13" t="str">
        <f t="shared" ca="1" si="36"/>
        <v>Elena</v>
      </c>
      <c r="F86" s="13" t="str">
        <f t="shared" ca="1" si="37"/>
        <v>Mark</v>
      </c>
      <c r="G86" s="13" t="str">
        <f t="shared" ca="1" si="38"/>
        <v>Cameron</v>
      </c>
      <c r="H86" s="13" t="str">
        <f t="shared" ca="1" si="39"/>
        <v/>
      </c>
      <c r="I86" s="13" t="str">
        <f t="shared" ca="1" si="40"/>
        <v>Raven</v>
      </c>
      <c r="J86" s="13" t="str">
        <f t="shared" ca="1" si="41"/>
        <v>Josh</v>
      </c>
      <c r="K86" s="13" t="str">
        <f t="shared" ca="1" si="42"/>
        <v>Matt</v>
      </c>
      <c r="L86" s="13" t="str">
        <f t="shared" ca="1" si="43"/>
        <v>Elena</v>
      </c>
      <c r="M86" s="13" t="str">
        <f t="shared" ca="1" si="44"/>
        <v>Megan</v>
      </c>
      <c r="N86" s="13" t="str">
        <f t="shared" ca="1" si="45"/>
        <v/>
      </c>
      <c r="O86" s="13" t="str">
        <f t="shared" ca="1" si="46"/>
        <v>Mark</v>
      </c>
      <c r="P86" s="13" t="str">
        <f t="shared" ca="1" si="47"/>
        <v>Jason</v>
      </c>
      <c r="Q86" s="13" t="str">
        <f t="shared" ca="1" si="48"/>
        <v>Mark</v>
      </c>
      <c r="R86" s="13" t="str">
        <f t="shared" ca="1" si="49"/>
        <v>Jessica</v>
      </c>
      <c r="S86" s="13"/>
      <c r="T86" s="13"/>
      <c r="U86" s="13"/>
      <c r="V86" s="13"/>
    </row>
    <row r="87" spans="1:22" x14ac:dyDescent="0.25">
      <c r="A87" s="13"/>
      <c r="B87" s="13" t="str">
        <f t="shared" ca="1" si="32"/>
        <v>Matt</v>
      </c>
      <c r="C87" s="13" t="str">
        <f t="shared" ca="1" si="34"/>
        <v>Elena</v>
      </c>
      <c r="D87" s="13" t="str">
        <f t="shared" ca="1" si="35"/>
        <v>Josh</v>
      </c>
      <c r="E87" s="13" t="str">
        <f t="shared" ca="1" si="36"/>
        <v>Cody</v>
      </c>
      <c r="F87" s="13" t="str">
        <f t="shared" ca="1" si="37"/>
        <v>Jillian</v>
      </c>
      <c r="G87" s="13" t="str">
        <f t="shared" ca="1" si="38"/>
        <v>Ramses</v>
      </c>
      <c r="H87" s="13" t="str">
        <f t="shared" ca="1" si="39"/>
        <v/>
      </c>
      <c r="I87" s="13" t="str">
        <f t="shared" ca="1" si="40"/>
        <v>Mark</v>
      </c>
      <c r="J87" s="13" t="str">
        <f t="shared" ca="1" si="41"/>
        <v>Mark</v>
      </c>
      <c r="K87" s="13" t="str">
        <f t="shared" ca="1" si="42"/>
        <v>Alex</v>
      </c>
      <c r="L87" s="13" t="str">
        <f t="shared" ca="1" si="43"/>
        <v>Raven</v>
      </c>
      <c r="M87" s="13" t="str">
        <f t="shared" ca="1" si="44"/>
        <v>Cameron</v>
      </c>
      <c r="N87" s="13" t="str">
        <f t="shared" ca="1" si="45"/>
        <v/>
      </c>
      <c r="O87" s="13" t="str">
        <f t="shared" ca="1" si="46"/>
        <v>Alex</v>
      </c>
      <c r="P87" s="13" t="str">
        <f t="shared" ca="1" si="47"/>
        <v>Cameron</v>
      </c>
      <c r="Q87" s="13" t="str">
        <f t="shared" ca="1" si="48"/>
        <v>Jason</v>
      </c>
      <c r="R87" s="13" t="str">
        <f t="shared" ca="1" si="49"/>
        <v>Raven</v>
      </c>
      <c r="S87" s="13"/>
      <c r="T87" s="13"/>
      <c r="U87" s="13"/>
      <c r="V87" s="13"/>
    </row>
    <row r="88" spans="1:22" x14ac:dyDescent="0.25">
      <c r="A88" s="13"/>
      <c r="B88" s="13" t="str">
        <f t="shared" ca="1" si="32"/>
        <v>Mark</v>
      </c>
      <c r="C88" s="13" t="str">
        <f t="shared" ca="1" si="34"/>
        <v>Cody</v>
      </c>
      <c r="D88" s="13" t="str">
        <f t="shared" ca="1" si="35"/>
        <v>Cameron</v>
      </c>
      <c r="E88" s="13" t="str">
        <f t="shared" ca="1" si="36"/>
        <v>Raven</v>
      </c>
      <c r="F88" s="13" t="str">
        <f t="shared" ca="1" si="37"/>
        <v>Raven</v>
      </c>
      <c r="G88" s="13" t="str">
        <f t="shared" ca="1" si="38"/>
        <v>Josh</v>
      </c>
      <c r="H88" s="13" t="str">
        <f t="shared" ca="1" si="39"/>
        <v/>
      </c>
      <c r="I88" s="13" t="str">
        <f t="shared" ca="1" si="40"/>
        <v>Christmas</v>
      </c>
      <c r="J88" s="13" t="str">
        <f t="shared" ca="1" si="41"/>
        <v>Raven</v>
      </c>
      <c r="K88" s="13" t="str">
        <f t="shared" ca="1" si="42"/>
        <v>Megan</v>
      </c>
      <c r="L88" s="13" t="str">
        <f t="shared" ca="1" si="43"/>
        <v>Christmas</v>
      </c>
      <c r="M88" s="13" t="str">
        <f t="shared" ca="1" si="44"/>
        <v>Ramses</v>
      </c>
      <c r="N88" s="13" t="str">
        <f t="shared" ca="1" si="45"/>
        <v/>
      </c>
      <c r="O88" s="13" t="str">
        <f t="shared" ca="1" si="46"/>
        <v>Megan</v>
      </c>
      <c r="P88" s="13" t="str">
        <f t="shared" ca="1" si="47"/>
        <v>Josh</v>
      </c>
      <c r="Q88" s="13" t="str">
        <f t="shared" ca="1" si="48"/>
        <v>Elena</v>
      </c>
      <c r="R88" s="13" t="str">
        <f t="shared" ca="1" si="49"/>
        <v>Cody</v>
      </c>
      <c r="S88" s="13"/>
      <c r="T88" s="13"/>
      <c r="U88" s="13"/>
      <c r="V88" s="13"/>
    </row>
    <row r="89" spans="1:22" x14ac:dyDescent="0.25">
      <c r="A89" s="13"/>
      <c r="B89" s="13" t="str">
        <f t="shared" ca="1" si="32"/>
        <v>Megan</v>
      </c>
      <c r="C89" s="13" t="str">
        <f t="shared" ca="1" si="34"/>
        <v>Cameron</v>
      </c>
      <c r="D89" s="13" t="str">
        <f t="shared" ca="1" si="35"/>
        <v>Alex</v>
      </c>
      <c r="E89" s="13" t="str">
        <f t="shared" ca="1" si="36"/>
        <v>Mark</v>
      </c>
      <c r="F89" s="13" t="str">
        <f t="shared" ca="1" si="37"/>
        <v>Elena</v>
      </c>
      <c r="G89" s="13" t="str">
        <f t="shared" ca="1" si="38"/>
        <v>Raven</v>
      </c>
      <c r="H89" s="13" t="str">
        <f t="shared" ca="1" si="39"/>
        <v/>
      </c>
      <c r="I89" s="13" t="str">
        <f t="shared" ca="1" si="40"/>
        <v>Paul</v>
      </c>
      <c r="J89" s="13" t="str">
        <f t="shared" ca="1" si="41"/>
        <v>Jessica</v>
      </c>
      <c r="K89" s="13" t="str">
        <f t="shared" ca="1" si="42"/>
        <v>Josh</v>
      </c>
      <c r="L89" s="13" t="str">
        <f t="shared" ca="1" si="43"/>
        <v>Cameron</v>
      </c>
      <c r="M89" s="13" t="str">
        <f t="shared" ca="1" si="44"/>
        <v>Matt</v>
      </c>
      <c r="N89" s="13" t="str">
        <f t="shared" ca="1" si="45"/>
        <v/>
      </c>
      <c r="O89" s="13" t="str">
        <f t="shared" ca="1" si="46"/>
        <v>Ramses</v>
      </c>
      <c r="P89" s="13" t="str">
        <f t="shared" ca="1" si="47"/>
        <v>Megan</v>
      </c>
      <c r="Q89" s="13" t="str">
        <f t="shared" ca="1" si="48"/>
        <v>Paul</v>
      </c>
      <c r="R89" s="13" t="str">
        <f t="shared" ca="1" si="49"/>
        <v>Paul</v>
      </c>
      <c r="S89" s="13"/>
      <c r="T89" s="13"/>
      <c r="U89" s="13"/>
      <c r="V89" s="13"/>
    </row>
    <row r="90" spans="1:22" x14ac:dyDescent="0.25">
      <c r="A90" s="13"/>
      <c r="B90" s="13" t="str">
        <f t="shared" ca="1" si="32"/>
        <v>Paul</v>
      </c>
      <c r="C90" s="13" t="str">
        <f t="shared" ca="1" si="34"/>
        <v>Jason</v>
      </c>
      <c r="D90" s="13" t="str">
        <f t="shared" ca="1" si="35"/>
        <v>Raven</v>
      </c>
      <c r="E90" s="13" t="str">
        <f t="shared" ca="1" si="36"/>
        <v>Christmas</v>
      </c>
      <c r="F90" s="13" t="str">
        <f t="shared" ca="1" si="37"/>
        <v>Alex</v>
      </c>
      <c r="G90" s="13" t="str">
        <f t="shared" ca="1" si="38"/>
        <v>Megan</v>
      </c>
      <c r="H90" s="13" t="str">
        <f t="shared" ca="1" si="39"/>
        <v/>
      </c>
      <c r="I90" s="13" t="str">
        <f t="shared" ca="1" si="40"/>
        <v>Elena</v>
      </c>
      <c r="J90" s="13" t="str">
        <f t="shared" ca="1" si="41"/>
        <v>Matt</v>
      </c>
      <c r="K90" s="13" t="str">
        <f t="shared" ca="1" si="42"/>
        <v>Jillian</v>
      </c>
      <c r="L90" s="13" t="str">
        <f t="shared" ca="1" si="43"/>
        <v>Ramses</v>
      </c>
      <c r="M90" s="13" t="str">
        <f t="shared" ca="1" si="44"/>
        <v>Josh</v>
      </c>
      <c r="N90" s="13" t="str">
        <f t="shared" ca="1" si="45"/>
        <v/>
      </c>
      <c r="O90" s="13" t="str">
        <f t="shared" ca="1" si="46"/>
        <v>Christmas</v>
      </c>
      <c r="P90" s="13" t="str">
        <f t="shared" ca="1" si="47"/>
        <v>Cody</v>
      </c>
      <c r="Q90" s="13" t="str">
        <f t="shared" ca="1" si="48"/>
        <v>Ramses</v>
      </c>
      <c r="R90" s="13" t="str">
        <f t="shared" ca="1" si="49"/>
        <v>Matt</v>
      </c>
      <c r="S90" s="13"/>
      <c r="T90" s="13"/>
      <c r="U90" s="13"/>
      <c r="V90" s="13"/>
    </row>
    <row r="91" spans="1:22" x14ac:dyDescent="0.25">
      <c r="A91" s="13"/>
      <c r="B91" s="13"/>
      <c r="C91" s="13"/>
      <c r="D91" s="13"/>
      <c r="E91" s="13"/>
      <c r="F91" s="13"/>
      <c r="G91" s="13"/>
      <c r="H91" s="13"/>
      <c r="I91" s="13"/>
      <c r="J91" s="13"/>
      <c r="K91" s="13"/>
      <c r="L91" s="13"/>
      <c r="M91" s="13"/>
      <c r="N91" s="13"/>
      <c r="O91" s="13"/>
      <c r="P91" s="13"/>
      <c r="Q91" s="13"/>
      <c r="R91" s="13"/>
      <c r="S91" s="13"/>
      <c r="T91" s="13"/>
      <c r="U91" s="13"/>
      <c r="V91" s="13"/>
    </row>
    <row r="92" spans="1:22" x14ac:dyDescent="0.25">
      <c r="A92" s="13" t="str">
        <f ca="1">Game!G339</f>
        <v>Megan</v>
      </c>
      <c r="B92" s="13" t="str">
        <f ca="1">IF(B76="","",IF($A$92=B76,"",B76))</f>
        <v>Raven</v>
      </c>
      <c r="C92" s="13" t="str">
        <f t="shared" ref="C92:R92" ca="1" si="50">IF(C76="","",IF($A$92=C76,"",C76))</f>
        <v>Ramses</v>
      </c>
      <c r="D92" s="13" t="str">
        <f t="shared" ca="1" si="50"/>
        <v>Paul</v>
      </c>
      <c r="E92" s="13" t="str">
        <f t="shared" ca="1" si="50"/>
        <v/>
      </c>
      <c r="F92" s="13" t="str">
        <f t="shared" ca="1" si="50"/>
        <v>Matt</v>
      </c>
      <c r="G92" s="13" t="str">
        <f t="shared" ca="1" si="50"/>
        <v>Mark</v>
      </c>
      <c r="H92" s="13" t="str">
        <f t="shared" ca="1" si="50"/>
        <v/>
      </c>
      <c r="I92" s="13" t="str">
        <f t="shared" ca="1" si="50"/>
        <v>Josh</v>
      </c>
      <c r="J92" s="13" t="str">
        <f t="shared" ca="1" si="50"/>
        <v>Jillian</v>
      </c>
      <c r="K92" s="13" t="str">
        <f t="shared" ca="1" si="50"/>
        <v>Jessica</v>
      </c>
      <c r="L92" s="13" t="str">
        <f t="shared" ca="1" si="50"/>
        <v>Jason</v>
      </c>
      <c r="M92" s="13" t="str">
        <f t="shared" ca="1" si="50"/>
        <v>Elena</v>
      </c>
      <c r="N92" s="13" t="str">
        <f t="shared" ca="1" si="50"/>
        <v/>
      </c>
      <c r="O92" s="13" t="str">
        <f t="shared" ca="1" si="50"/>
        <v>Cody</v>
      </c>
      <c r="P92" s="13" t="str">
        <f t="shared" ca="1" si="50"/>
        <v>Christmas</v>
      </c>
      <c r="Q92" s="13" t="str">
        <f t="shared" ca="1" si="50"/>
        <v>Cameron</v>
      </c>
      <c r="R92" s="13" t="str">
        <f t="shared" ca="1" si="50"/>
        <v>Alex</v>
      </c>
      <c r="S92" s="13"/>
      <c r="T92" s="13"/>
      <c r="U92" s="13"/>
      <c r="V92" s="13"/>
    </row>
    <row r="93" spans="1:22" x14ac:dyDescent="0.25">
      <c r="A93" s="13"/>
      <c r="B93" s="13" t="str">
        <f ca="1">IF(B92="","",IF(B77=$A$92,B78,B77))</f>
        <v>Jessica</v>
      </c>
      <c r="C93" s="13" t="str">
        <f t="shared" ref="C93:R93" ca="1" si="51">IF(C92="","",IF(C77=$A$92,C78,C77))</f>
        <v>Christmas</v>
      </c>
      <c r="D93" s="13" t="str">
        <f t="shared" ca="1" si="51"/>
        <v>Jillian</v>
      </c>
      <c r="E93" s="13" t="str">
        <f t="shared" ca="1" si="51"/>
        <v/>
      </c>
      <c r="F93" s="13" t="str">
        <f t="shared" ca="1" si="51"/>
        <v>Christmas</v>
      </c>
      <c r="G93" s="13" t="str">
        <f t="shared" ca="1" si="51"/>
        <v>Alex</v>
      </c>
      <c r="H93" s="13" t="str">
        <f t="shared" ca="1" si="51"/>
        <v/>
      </c>
      <c r="I93" s="13" t="str">
        <f t="shared" ca="1" si="51"/>
        <v>Ramses</v>
      </c>
      <c r="J93" s="13" t="str">
        <f t="shared" ca="1" si="51"/>
        <v>Paul</v>
      </c>
      <c r="K93" s="13" t="str">
        <f t="shared" ca="1" si="51"/>
        <v>Raven</v>
      </c>
      <c r="L93" s="13" t="str">
        <f t="shared" ca="1" si="51"/>
        <v>Matt</v>
      </c>
      <c r="M93" s="13" t="str">
        <f t="shared" ca="1" si="51"/>
        <v>Cody</v>
      </c>
      <c r="N93" s="13" t="str">
        <f t="shared" ca="1" si="51"/>
        <v/>
      </c>
      <c r="O93" s="13" t="str">
        <f t="shared" ca="1" si="51"/>
        <v>Elena</v>
      </c>
      <c r="P93" s="13" t="str">
        <f t="shared" ca="1" si="51"/>
        <v>Matt</v>
      </c>
      <c r="Q93" s="13" t="str">
        <f t="shared" ca="1" si="51"/>
        <v>Alex</v>
      </c>
      <c r="R93" s="13" t="str">
        <f t="shared" ca="1" si="51"/>
        <v>Mark</v>
      </c>
      <c r="S93" s="13"/>
      <c r="T93" s="13"/>
      <c r="U93" s="13"/>
      <c r="V93" s="13"/>
    </row>
    <row r="94" spans="1:22" x14ac:dyDescent="0.25">
      <c r="A94" s="13"/>
      <c r="B94" s="13" t="str">
        <f t="shared" ref="B94:B105" ca="1" si="52">IF(B93="","",IF(B93=B78,B79,IF(B78=$A$92,B79,B78)))</f>
        <v>Cody</v>
      </c>
      <c r="C94" s="13" t="str">
        <f t="shared" ref="C94:R94" ca="1" si="53">IF(C93="","",IF(C93=C78,C79,IF(C78=$A$92,C79,C78)))</f>
        <v>Josh</v>
      </c>
      <c r="D94" s="13" t="str">
        <f t="shared" ca="1" si="53"/>
        <v>Ramses</v>
      </c>
      <c r="E94" s="13" t="str">
        <f t="shared" ca="1" si="53"/>
        <v/>
      </c>
      <c r="F94" s="13" t="str">
        <f t="shared" ca="1" si="53"/>
        <v>Jason</v>
      </c>
      <c r="G94" s="13" t="str">
        <f t="shared" ca="1" si="53"/>
        <v>Christmas</v>
      </c>
      <c r="H94" s="13" t="str">
        <f t="shared" ca="1" si="53"/>
        <v/>
      </c>
      <c r="I94" s="13" t="str">
        <f t="shared" ca="1" si="53"/>
        <v>Matt</v>
      </c>
      <c r="J94" s="13" t="str">
        <f t="shared" ca="1" si="53"/>
        <v>Ramses</v>
      </c>
      <c r="K94" s="13" t="str">
        <f t="shared" ca="1" si="53"/>
        <v>Elena</v>
      </c>
      <c r="L94" s="13" t="str">
        <f t="shared" ca="1" si="53"/>
        <v>Jillian</v>
      </c>
      <c r="M94" s="13" t="str">
        <f t="shared" ca="1" si="53"/>
        <v>Alex</v>
      </c>
      <c r="N94" s="13" t="str">
        <f t="shared" ca="1" si="53"/>
        <v/>
      </c>
      <c r="O94" s="13" t="str">
        <f t="shared" ca="1" si="53"/>
        <v>Matt</v>
      </c>
      <c r="P94" s="13" t="str">
        <f t="shared" ca="1" si="53"/>
        <v>Ramses</v>
      </c>
      <c r="Q94" s="13" t="str">
        <f t="shared" ca="1" si="53"/>
        <v>Cody</v>
      </c>
      <c r="R94" s="13" t="str">
        <f t="shared" ca="1" si="53"/>
        <v>Cameron</v>
      </c>
      <c r="S94" s="13"/>
      <c r="T94" s="13"/>
      <c r="U94" s="13"/>
      <c r="V94" s="13"/>
    </row>
    <row r="95" spans="1:22" x14ac:dyDescent="0.25">
      <c r="A95" s="13"/>
      <c r="B95" s="13" t="str">
        <f t="shared" ca="1" si="52"/>
        <v>Ramses</v>
      </c>
      <c r="C95" s="13" t="str">
        <f t="shared" ref="C95:C105" ca="1" si="54">IF(C94="","",IF(C94=C79,C80,IF(C79=$A$92,C80,C79)))</f>
        <v>Paul</v>
      </c>
      <c r="D95" s="13" t="str">
        <f t="shared" ref="D95:D105" ca="1" si="55">IF(D94="","",IF(D94=D79,D80,IF(D79=$A$92,D80,D79)))</f>
        <v>Matt</v>
      </c>
      <c r="E95" s="13" t="str">
        <f t="shared" ref="E95:E105" ca="1" si="56">IF(E94="","",IF(E94=E79,E80,IF(E79=$A$92,E80,E79)))</f>
        <v/>
      </c>
      <c r="F95" s="13" t="str">
        <f t="shared" ref="F95:F105" ca="1" si="57">IF(F94="","",IF(F94=F79,F80,IF(F79=$A$92,F80,F79)))</f>
        <v>Cody</v>
      </c>
      <c r="G95" s="13" t="str">
        <f t="shared" ref="G95:G105" ca="1" si="58">IF(G94="","",IF(G94=G79,G80,IF(G79=$A$92,G80,G79)))</f>
        <v>Jessica</v>
      </c>
      <c r="H95" s="13" t="str">
        <f t="shared" ref="H95:H105" ca="1" si="59">IF(H94="","",IF(H94=H79,H80,IF(H79=$A$92,H80,H79)))</f>
        <v/>
      </c>
      <c r="I95" s="13" t="str">
        <f t="shared" ref="I95:I105" ca="1" si="60">IF(I94="","",IF(I94=I79,I80,IF(I79=$A$92,I80,I79)))</f>
        <v>Cody</v>
      </c>
      <c r="J95" s="13" t="str">
        <f t="shared" ref="J95:J105" ca="1" si="61">IF(J94="","",IF(J94=J79,J80,IF(J79=$A$92,J80,J79)))</f>
        <v>Jason</v>
      </c>
      <c r="K95" s="13" t="str">
        <f t="shared" ref="K95:K105" ca="1" si="62">IF(K94="","",IF(K94=K79,K80,IF(K79=$A$92,K80,K79)))</f>
        <v>Christmas</v>
      </c>
      <c r="L95" s="13" t="str">
        <f t="shared" ref="L95:L105" ca="1" si="63">IF(L94="","",IF(L94=L79,L80,IF(L79=$A$92,L80,L79)))</f>
        <v>Alex</v>
      </c>
      <c r="M95" s="13" t="str">
        <f t="shared" ref="M95:M105" ca="1" si="64">IF(M94="","",IF(M94=M79,M80,IF(M79=$A$92,M80,M79)))</f>
        <v>Jessica</v>
      </c>
      <c r="N95" s="13" t="str">
        <f t="shared" ref="N95:N105" ca="1" si="65">IF(N94="","",IF(N94=N79,N80,IF(N79=$A$92,N80,N79)))</f>
        <v/>
      </c>
      <c r="O95" s="13" t="str">
        <f t="shared" ref="O95:O105" ca="1" si="66">IF(O94="","",IF(O94=O79,O80,IF(O79=$A$92,O80,O79)))</f>
        <v>Raven</v>
      </c>
      <c r="P95" s="13" t="str">
        <f t="shared" ref="P95:P105" ca="1" si="67">IF(P94="","",IF(P94=P79,P80,IF(P79=$A$92,P80,P79)))</f>
        <v>Mark</v>
      </c>
      <c r="Q95" s="13" t="str">
        <f t="shared" ref="Q95:Q105" ca="1" si="68">IF(Q94="","",IF(Q94=Q79,Q80,IF(Q79=$A$92,Q80,Q79)))</f>
        <v>Matt</v>
      </c>
      <c r="R95" s="13" t="str">
        <f t="shared" ref="R95:R105" ca="1" si="69">IF(R94="","",IF(R94=R79,R80,IF(R79=$A$92,R80,R79)))</f>
        <v>Elena</v>
      </c>
      <c r="S95" s="13"/>
      <c r="T95" s="13"/>
      <c r="U95" s="13"/>
      <c r="V95" s="13"/>
    </row>
    <row r="96" spans="1:22" x14ac:dyDescent="0.25">
      <c r="A96" s="13"/>
      <c r="B96" s="13" t="str">
        <f t="shared" ca="1" si="52"/>
        <v>Elena</v>
      </c>
      <c r="C96" s="13" t="str">
        <f t="shared" ca="1" si="54"/>
        <v>Jillian</v>
      </c>
      <c r="D96" s="13" t="str">
        <f t="shared" ca="1" si="55"/>
        <v>Christmas</v>
      </c>
      <c r="E96" s="13" t="str">
        <f t="shared" ca="1" si="56"/>
        <v/>
      </c>
      <c r="F96" s="13" t="str">
        <f t="shared" ca="1" si="57"/>
        <v>Cameron</v>
      </c>
      <c r="G96" s="13" t="str">
        <f t="shared" ca="1" si="58"/>
        <v>Jason</v>
      </c>
      <c r="H96" s="13" t="str">
        <f t="shared" ca="1" si="59"/>
        <v/>
      </c>
      <c r="I96" s="13" t="str">
        <f t="shared" ca="1" si="60"/>
        <v>Alex</v>
      </c>
      <c r="J96" s="13" t="str">
        <f t="shared" ca="1" si="61"/>
        <v>Cameron</v>
      </c>
      <c r="K96" s="13" t="str">
        <f t="shared" ca="1" si="62"/>
        <v>Mark</v>
      </c>
      <c r="L96" s="13" t="str">
        <f t="shared" ca="1" si="63"/>
        <v>Jessica</v>
      </c>
      <c r="M96" s="13" t="str">
        <f t="shared" ca="1" si="64"/>
        <v>Christmas</v>
      </c>
      <c r="N96" s="13" t="str">
        <f t="shared" ca="1" si="65"/>
        <v/>
      </c>
      <c r="O96" s="13" t="str">
        <f t="shared" ca="1" si="66"/>
        <v>Cameron</v>
      </c>
      <c r="P96" s="13" t="str">
        <f t="shared" ca="1" si="67"/>
        <v>Jessica</v>
      </c>
      <c r="Q96" s="13" t="str">
        <f t="shared" ca="1" si="68"/>
        <v>Jillian</v>
      </c>
      <c r="R96" s="13" t="str">
        <f t="shared" ca="1" si="69"/>
        <v>Jason</v>
      </c>
      <c r="S96" s="13"/>
      <c r="T96" s="13"/>
      <c r="U96" s="13"/>
      <c r="V96" s="13"/>
    </row>
    <row r="97" spans="1:22" x14ac:dyDescent="0.25">
      <c r="A97" s="13"/>
      <c r="B97" s="13" t="str">
        <f t="shared" ca="1" si="52"/>
        <v>Christmas</v>
      </c>
      <c r="C97" s="13" t="str">
        <f t="shared" ca="1" si="54"/>
        <v>Raven</v>
      </c>
      <c r="D97" s="13" t="str">
        <f t="shared" ca="1" si="55"/>
        <v>Jessica</v>
      </c>
      <c r="E97" s="13" t="str">
        <f t="shared" ca="1" si="56"/>
        <v/>
      </c>
      <c r="F97" s="13" t="str">
        <f t="shared" ca="1" si="57"/>
        <v>Josh</v>
      </c>
      <c r="G97" s="13" t="str">
        <f t="shared" ca="1" si="58"/>
        <v>Jillian</v>
      </c>
      <c r="H97" s="13" t="str">
        <f t="shared" ca="1" si="59"/>
        <v/>
      </c>
      <c r="I97" s="13" t="str">
        <f t="shared" ca="1" si="60"/>
        <v>Jillian</v>
      </c>
      <c r="J97" s="13" t="str">
        <f t="shared" ca="1" si="61"/>
        <v>Elena</v>
      </c>
      <c r="K97" s="13" t="str">
        <f t="shared" ca="1" si="62"/>
        <v>Ramses</v>
      </c>
      <c r="L97" s="13" t="str">
        <f t="shared" ca="1" si="63"/>
        <v>Mark</v>
      </c>
      <c r="M97" s="13" t="str">
        <f t="shared" ca="1" si="64"/>
        <v>Jillian</v>
      </c>
      <c r="N97" s="13" t="str">
        <f t="shared" ca="1" si="65"/>
        <v/>
      </c>
      <c r="O97" s="13" t="str">
        <f t="shared" ca="1" si="66"/>
        <v>Josh</v>
      </c>
      <c r="P97" s="13" t="str">
        <f t="shared" ca="1" si="67"/>
        <v>Elena</v>
      </c>
      <c r="Q97" s="13" t="str">
        <f t="shared" ca="1" si="68"/>
        <v>Raven</v>
      </c>
      <c r="R97" s="13" t="str">
        <f t="shared" ca="1" si="69"/>
        <v>Jillian</v>
      </c>
      <c r="S97" s="13"/>
      <c r="T97" s="13"/>
      <c r="U97" s="13"/>
      <c r="V97" s="13"/>
    </row>
    <row r="98" spans="1:22" x14ac:dyDescent="0.25">
      <c r="A98" s="13"/>
      <c r="B98" s="13" t="str">
        <f t="shared" ca="1" si="52"/>
        <v>Cameron</v>
      </c>
      <c r="C98" s="13" t="str">
        <f t="shared" ca="1" si="54"/>
        <v>Jessica</v>
      </c>
      <c r="D98" s="13" t="str">
        <f t="shared" ca="1" si="55"/>
        <v>Jason</v>
      </c>
      <c r="E98" s="13" t="str">
        <f t="shared" ca="1" si="56"/>
        <v/>
      </c>
      <c r="F98" s="13" t="str">
        <f t="shared" ca="1" si="57"/>
        <v>Paul</v>
      </c>
      <c r="G98" s="13" t="str">
        <f t="shared" ca="1" si="58"/>
        <v>Elena</v>
      </c>
      <c r="H98" s="13" t="str">
        <f t="shared" ca="1" si="59"/>
        <v/>
      </c>
      <c r="I98" s="13" t="str">
        <f t="shared" ca="1" si="60"/>
        <v>Cameron</v>
      </c>
      <c r="J98" s="13" t="str">
        <f t="shared" ca="1" si="61"/>
        <v>Alex</v>
      </c>
      <c r="K98" s="13" t="str">
        <f t="shared" ca="1" si="62"/>
        <v>Jason</v>
      </c>
      <c r="L98" s="13" t="str">
        <f t="shared" ca="1" si="63"/>
        <v>Paul</v>
      </c>
      <c r="M98" s="13" t="str">
        <f t="shared" ca="1" si="64"/>
        <v>Raven</v>
      </c>
      <c r="N98" s="13" t="str">
        <f t="shared" ca="1" si="65"/>
        <v/>
      </c>
      <c r="O98" s="13" t="str">
        <f t="shared" ca="1" si="66"/>
        <v>Jillian</v>
      </c>
      <c r="P98" s="13" t="str">
        <f t="shared" ca="1" si="67"/>
        <v>Paul</v>
      </c>
      <c r="Q98" s="13" t="str">
        <f t="shared" ca="1" si="68"/>
        <v>Jessica</v>
      </c>
      <c r="R98" s="13" t="str">
        <f t="shared" ca="1" si="69"/>
        <v>Ramses</v>
      </c>
      <c r="S98" s="13"/>
      <c r="T98" s="13"/>
      <c r="U98" s="13"/>
      <c r="V98" s="13"/>
    </row>
    <row r="99" spans="1:22" x14ac:dyDescent="0.25">
      <c r="A99" s="13"/>
      <c r="B99" s="13" t="str">
        <f t="shared" ca="1" si="52"/>
        <v>Alex</v>
      </c>
      <c r="C99" s="13" t="str">
        <f t="shared" ca="1" si="54"/>
        <v>Matt</v>
      </c>
      <c r="D99" s="13" t="str">
        <f t="shared" ca="1" si="55"/>
        <v>Elena</v>
      </c>
      <c r="E99" s="13" t="str">
        <f t="shared" ca="1" si="56"/>
        <v/>
      </c>
      <c r="F99" s="13" t="str">
        <f t="shared" ca="1" si="57"/>
        <v>Ramses</v>
      </c>
      <c r="G99" s="13" t="str">
        <f t="shared" ca="1" si="58"/>
        <v>Paul</v>
      </c>
      <c r="H99" s="13" t="str">
        <f t="shared" ca="1" si="59"/>
        <v/>
      </c>
      <c r="I99" s="13" t="str">
        <f t="shared" ca="1" si="60"/>
        <v>Jason</v>
      </c>
      <c r="J99" s="13" t="str">
        <f t="shared" ca="1" si="61"/>
        <v>Cody</v>
      </c>
      <c r="K99" s="13" t="str">
        <f t="shared" ca="1" si="62"/>
        <v>Paul</v>
      </c>
      <c r="L99" s="13" t="str">
        <f t="shared" ca="1" si="63"/>
        <v>Cody</v>
      </c>
      <c r="M99" s="13" t="str">
        <f t="shared" ca="1" si="64"/>
        <v>Mark</v>
      </c>
      <c r="N99" s="13" t="str">
        <f t="shared" ca="1" si="65"/>
        <v/>
      </c>
      <c r="O99" s="13" t="str">
        <f t="shared" ca="1" si="66"/>
        <v>Jessica</v>
      </c>
      <c r="P99" s="13" t="str">
        <f t="shared" ca="1" si="67"/>
        <v>Raven</v>
      </c>
      <c r="Q99" s="13" t="str">
        <f t="shared" ca="1" si="68"/>
        <v>Josh</v>
      </c>
      <c r="R99" s="13" t="str">
        <f t="shared" ca="1" si="69"/>
        <v>Josh</v>
      </c>
      <c r="S99" s="13"/>
      <c r="T99" s="13"/>
      <c r="U99" s="13"/>
      <c r="V99" s="13"/>
    </row>
    <row r="100" spans="1:22" x14ac:dyDescent="0.25">
      <c r="A100" s="13"/>
      <c r="B100" s="13" t="str">
        <f t="shared" ca="1" si="52"/>
        <v>Jason</v>
      </c>
      <c r="C100" s="13" t="str">
        <f t="shared" ca="1" si="54"/>
        <v>Alex</v>
      </c>
      <c r="D100" s="13" t="str">
        <f t="shared" ca="1" si="55"/>
        <v>Mark</v>
      </c>
      <c r="E100" s="13" t="str">
        <f t="shared" ca="1" si="56"/>
        <v/>
      </c>
      <c r="F100" s="13" t="str">
        <f t="shared" ca="1" si="57"/>
        <v>Jessica</v>
      </c>
      <c r="G100" s="13" t="str">
        <f t="shared" ca="1" si="58"/>
        <v>Cody</v>
      </c>
      <c r="H100" s="13" t="str">
        <f t="shared" ca="1" si="59"/>
        <v/>
      </c>
      <c r="I100" s="13" t="str">
        <f t="shared" ca="1" si="60"/>
        <v>Jessica</v>
      </c>
      <c r="J100" s="13" t="str">
        <f t="shared" ca="1" si="61"/>
        <v>Christmas</v>
      </c>
      <c r="K100" s="13" t="str">
        <f t="shared" ca="1" si="62"/>
        <v>Cody</v>
      </c>
      <c r="L100" s="13" t="str">
        <f t="shared" ca="1" si="63"/>
        <v>Josh</v>
      </c>
      <c r="M100" s="13" t="str">
        <f t="shared" ca="1" si="64"/>
        <v>Paul</v>
      </c>
      <c r="N100" s="13" t="str">
        <f t="shared" ca="1" si="65"/>
        <v/>
      </c>
      <c r="O100" s="13" t="str">
        <f t="shared" ca="1" si="66"/>
        <v>Jason</v>
      </c>
      <c r="P100" s="13" t="str">
        <f t="shared" ca="1" si="67"/>
        <v>Jillian</v>
      </c>
      <c r="Q100" s="13" t="str">
        <f t="shared" ca="1" si="68"/>
        <v>Christmas</v>
      </c>
      <c r="R100" s="13" t="str">
        <f t="shared" ca="1" si="69"/>
        <v>Christmas</v>
      </c>
      <c r="S100" s="13"/>
      <c r="T100" s="13"/>
      <c r="U100" s="13"/>
      <c r="V100" s="13"/>
    </row>
    <row r="101" spans="1:22" x14ac:dyDescent="0.25">
      <c r="A101" s="13"/>
      <c r="B101" s="13" t="str">
        <f t="shared" ca="1" si="52"/>
        <v>Jillian</v>
      </c>
      <c r="C101" s="13" t="str">
        <f t="shared" ca="1" si="54"/>
        <v>Mark</v>
      </c>
      <c r="D101" s="13" t="str">
        <f t="shared" ca="1" si="55"/>
        <v>Cody</v>
      </c>
      <c r="E101" s="13" t="str">
        <f t="shared" ca="1" si="56"/>
        <v/>
      </c>
      <c r="F101" s="13" t="str">
        <f t="shared" ca="1" si="57"/>
        <v>Mark</v>
      </c>
      <c r="G101" s="13" t="str">
        <f t="shared" ca="1" si="58"/>
        <v>Matt</v>
      </c>
      <c r="H101" s="13" t="str">
        <f t="shared" ca="1" si="59"/>
        <v/>
      </c>
      <c r="I101" s="13" t="str">
        <f t="shared" ca="1" si="60"/>
        <v>Raven</v>
      </c>
      <c r="J101" s="13" t="str">
        <f t="shared" ca="1" si="61"/>
        <v>Josh</v>
      </c>
      <c r="K101" s="13" t="str">
        <f t="shared" ca="1" si="62"/>
        <v>Cameron</v>
      </c>
      <c r="L101" s="13" t="str">
        <f t="shared" ca="1" si="63"/>
        <v>Elena</v>
      </c>
      <c r="M101" s="13" t="str">
        <f t="shared" ca="1" si="64"/>
        <v>Jason</v>
      </c>
      <c r="N101" s="13" t="str">
        <f t="shared" ca="1" si="65"/>
        <v/>
      </c>
      <c r="O101" s="13" t="str">
        <f t="shared" ca="1" si="66"/>
        <v>Paul</v>
      </c>
      <c r="P101" s="13" t="str">
        <f t="shared" ca="1" si="67"/>
        <v>Alex</v>
      </c>
      <c r="Q101" s="13" t="str">
        <f t="shared" ca="1" si="68"/>
        <v>Mark</v>
      </c>
      <c r="R101" s="13" t="str">
        <f t="shared" ca="1" si="69"/>
        <v>Jessica</v>
      </c>
      <c r="S101" s="13"/>
      <c r="T101" s="13"/>
      <c r="U101" s="13"/>
      <c r="V101" s="13"/>
    </row>
    <row r="102" spans="1:22" x14ac:dyDescent="0.25">
      <c r="A102" s="13"/>
      <c r="B102" s="13" t="str">
        <f t="shared" ca="1" si="52"/>
        <v>Josh</v>
      </c>
      <c r="C102" s="13" t="str">
        <f t="shared" ca="1" si="54"/>
        <v>Elena</v>
      </c>
      <c r="D102" s="13" t="str">
        <f t="shared" ca="1" si="55"/>
        <v>Josh</v>
      </c>
      <c r="E102" s="13" t="str">
        <f t="shared" ca="1" si="56"/>
        <v/>
      </c>
      <c r="F102" s="13" t="str">
        <f t="shared" ca="1" si="57"/>
        <v>Jillian</v>
      </c>
      <c r="G102" s="13" t="str">
        <f t="shared" ca="1" si="58"/>
        <v>Cameron</v>
      </c>
      <c r="H102" s="13" t="str">
        <f t="shared" ca="1" si="59"/>
        <v/>
      </c>
      <c r="I102" s="13" t="str">
        <f t="shared" ca="1" si="60"/>
        <v>Mark</v>
      </c>
      <c r="J102" s="13" t="str">
        <f t="shared" ca="1" si="61"/>
        <v>Mark</v>
      </c>
      <c r="K102" s="13" t="str">
        <f t="shared" ca="1" si="62"/>
        <v>Matt</v>
      </c>
      <c r="L102" s="13" t="str">
        <f t="shared" ca="1" si="63"/>
        <v>Raven</v>
      </c>
      <c r="M102" s="13" t="str">
        <f t="shared" ca="1" si="64"/>
        <v>Cameron</v>
      </c>
      <c r="N102" s="13" t="str">
        <f t="shared" ca="1" si="65"/>
        <v/>
      </c>
      <c r="O102" s="13" t="str">
        <f t="shared" ca="1" si="66"/>
        <v>Mark</v>
      </c>
      <c r="P102" s="13" t="str">
        <f t="shared" ca="1" si="67"/>
        <v>Jason</v>
      </c>
      <c r="Q102" s="13" t="str">
        <f t="shared" ca="1" si="68"/>
        <v>Jason</v>
      </c>
      <c r="R102" s="13" t="str">
        <f t="shared" ca="1" si="69"/>
        <v>Raven</v>
      </c>
      <c r="S102" s="13"/>
      <c r="T102" s="13"/>
      <c r="U102" s="13"/>
      <c r="V102" s="13"/>
    </row>
    <row r="103" spans="1:22" x14ac:dyDescent="0.25">
      <c r="A103" s="13"/>
      <c r="B103" s="13" t="str">
        <f t="shared" ca="1" si="52"/>
        <v>Matt</v>
      </c>
      <c r="C103" s="13" t="str">
        <f t="shared" ca="1" si="54"/>
        <v>Cody</v>
      </c>
      <c r="D103" s="13" t="str">
        <f t="shared" ca="1" si="55"/>
        <v>Cameron</v>
      </c>
      <c r="E103" s="13" t="str">
        <f t="shared" ca="1" si="56"/>
        <v/>
      </c>
      <c r="F103" s="13" t="str">
        <f t="shared" ca="1" si="57"/>
        <v>Raven</v>
      </c>
      <c r="G103" s="13" t="str">
        <f t="shared" ca="1" si="58"/>
        <v>Ramses</v>
      </c>
      <c r="H103" s="13" t="str">
        <f t="shared" ca="1" si="59"/>
        <v/>
      </c>
      <c r="I103" s="13" t="str">
        <f t="shared" ca="1" si="60"/>
        <v>Christmas</v>
      </c>
      <c r="J103" s="13" t="str">
        <f t="shared" ca="1" si="61"/>
        <v>Raven</v>
      </c>
      <c r="K103" s="13" t="str">
        <f t="shared" ca="1" si="62"/>
        <v>Alex</v>
      </c>
      <c r="L103" s="13" t="str">
        <f t="shared" ca="1" si="63"/>
        <v>Christmas</v>
      </c>
      <c r="M103" s="13" t="str">
        <f t="shared" ca="1" si="64"/>
        <v>Ramses</v>
      </c>
      <c r="N103" s="13" t="str">
        <f t="shared" ca="1" si="65"/>
        <v/>
      </c>
      <c r="O103" s="13" t="str">
        <f t="shared" ca="1" si="66"/>
        <v>Alex</v>
      </c>
      <c r="P103" s="13" t="str">
        <f t="shared" ca="1" si="67"/>
        <v>Cameron</v>
      </c>
      <c r="Q103" s="13" t="str">
        <f t="shared" ca="1" si="68"/>
        <v>Elena</v>
      </c>
      <c r="R103" s="13" t="str">
        <f t="shared" ca="1" si="69"/>
        <v>Cody</v>
      </c>
      <c r="S103" s="13"/>
      <c r="T103" s="13"/>
      <c r="U103" s="13"/>
      <c r="V103" s="13"/>
    </row>
    <row r="104" spans="1:22" x14ac:dyDescent="0.25">
      <c r="A104" s="13"/>
      <c r="B104" s="13" t="str">
        <f t="shared" ca="1" si="52"/>
        <v>Mark</v>
      </c>
      <c r="C104" s="13" t="str">
        <f t="shared" ca="1" si="54"/>
        <v>Cameron</v>
      </c>
      <c r="D104" s="13" t="str">
        <f t="shared" ca="1" si="55"/>
        <v>Alex</v>
      </c>
      <c r="E104" s="13" t="str">
        <f t="shared" ca="1" si="56"/>
        <v/>
      </c>
      <c r="F104" s="13" t="str">
        <f t="shared" ca="1" si="57"/>
        <v>Elena</v>
      </c>
      <c r="G104" s="13" t="str">
        <f t="shared" ca="1" si="58"/>
        <v>Josh</v>
      </c>
      <c r="H104" s="13" t="str">
        <f t="shared" ca="1" si="59"/>
        <v/>
      </c>
      <c r="I104" s="13" t="str">
        <f t="shared" ca="1" si="60"/>
        <v>Paul</v>
      </c>
      <c r="J104" s="13" t="str">
        <f t="shared" ca="1" si="61"/>
        <v>Jessica</v>
      </c>
      <c r="K104" s="13" t="str">
        <f t="shared" ca="1" si="62"/>
        <v>Josh</v>
      </c>
      <c r="L104" s="13" t="str">
        <f t="shared" ca="1" si="63"/>
        <v>Cameron</v>
      </c>
      <c r="M104" s="13" t="str">
        <f t="shared" ca="1" si="64"/>
        <v>Matt</v>
      </c>
      <c r="N104" s="13" t="str">
        <f t="shared" ca="1" si="65"/>
        <v/>
      </c>
      <c r="O104" s="13" t="str">
        <f t="shared" ca="1" si="66"/>
        <v>Ramses</v>
      </c>
      <c r="P104" s="13" t="str">
        <f t="shared" ca="1" si="67"/>
        <v>Josh</v>
      </c>
      <c r="Q104" s="13" t="str">
        <f t="shared" ca="1" si="68"/>
        <v>Paul</v>
      </c>
      <c r="R104" s="13" t="str">
        <f t="shared" ca="1" si="69"/>
        <v>Paul</v>
      </c>
      <c r="S104" s="13"/>
      <c r="T104" s="13"/>
      <c r="U104" s="13"/>
      <c r="V104" s="13"/>
    </row>
    <row r="105" spans="1:22" x14ac:dyDescent="0.25">
      <c r="A105" s="13"/>
      <c r="B105" s="13" t="str">
        <f t="shared" ca="1" si="52"/>
        <v>Paul</v>
      </c>
      <c r="C105" s="13" t="str">
        <f t="shared" ca="1" si="54"/>
        <v>Jason</v>
      </c>
      <c r="D105" s="13" t="str">
        <f t="shared" ca="1" si="55"/>
        <v>Raven</v>
      </c>
      <c r="E105" s="13" t="str">
        <f t="shared" ca="1" si="56"/>
        <v/>
      </c>
      <c r="F105" s="13" t="str">
        <f t="shared" ca="1" si="57"/>
        <v>Alex</v>
      </c>
      <c r="G105" s="13" t="str">
        <f t="shared" ca="1" si="58"/>
        <v>Raven</v>
      </c>
      <c r="H105" s="13" t="str">
        <f t="shared" ca="1" si="59"/>
        <v/>
      </c>
      <c r="I105" s="13" t="str">
        <f t="shared" ca="1" si="60"/>
        <v>Elena</v>
      </c>
      <c r="J105" s="13" t="str">
        <f t="shared" ca="1" si="61"/>
        <v>Matt</v>
      </c>
      <c r="K105" s="13" t="str">
        <f t="shared" ca="1" si="62"/>
        <v>Jillian</v>
      </c>
      <c r="L105" s="13" t="str">
        <f t="shared" ca="1" si="63"/>
        <v>Ramses</v>
      </c>
      <c r="M105" s="13" t="str">
        <f t="shared" ca="1" si="64"/>
        <v>Josh</v>
      </c>
      <c r="N105" s="13" t="str">
        <f t="shared" ca="1" si="65"/>
        <v/>
      </c>
      <c r="O105" s="13" t="str">
        <f t="shared" ca="1" si="66"/>
        <v>Christmas</v>
      </c>
      <c r="P105" s="13" t="str">
        <f t="shared" ca="1" si="67"/>
        <v>Cody</v>
      </c>
      <c r="Q105" s="13" t="str">
        <f t="shared" ca="1" si="68"/>
        <v>Ramses</v>
      </c>
      <c r="R105" s="13" t="str">
        <f t="shared" ca="1" si="69"/>
        <v>Matt</v>
      </c>
      <c r="S105" s="13"/>
      <c r="T105" s="13"/>
      <c r="U105" s="13"/>
      <c r="V105" s="13"/>
    </row>
    <row r="106" spans="1:2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x14ac:dyDescent="0.25">
      <c r="A107" s="13"/>
      <c r="B107" s="47" t="str">
        <f ca="1">IF(B92="","",B92)</f>
        <v>Raven</v>
      </c>
      <c r="C107" s="47" t="str">
        <f t="shared" ref="C107:R107" ca="1" si="70">IF(C92="","",C92)</f>
        <v>Ramses</v>
      </c>
      <c r="D107" s="47" t="str">
        <f t="shared" ca="1" si="70"/>
        <v>Paul</v>
      </c>
      <c r="E107" s="47" t="str">
        <f t="shared" ca="1" si="70"/>
        <v/>
      </c>
      <c r="F107" s="47" t="str">
        <f t="shared" ca="1" si="70"/>
        <v>Matt</v>
      </c>
      <c r="G107" s="47" t="str">
        <f t="shared" ca="1" si="70"/>
        <v>Mark</v>
      </c>
      <c r="H107" s="47" t="str">
        <f t="shared" ca="1" si="70"/>
        <v/>
      </c>
      <c r="I107" s="47" t="str">
        <f t="shared" ca="1" si="70"/>
        <v>Josh</v>
      </c>
      <c r="J107" s="47" t="str">
        <f t="shared" ca="1" si="70"/>
        <v>Jillian</v>
      </c>
      <c r="K107" s="47" t="str">
        <f t="shared" ca="1" si="70"/>
        <v>Jessica</v>
      </c>
      <c r="L107" s="47" t="str">
        <f t="shared" ca="1" si="70"/>
        <v>Jason</v>
      </c>
      <c r="M107" s="47" t="str">
        <f t="shared" ca="1" si="70"/>
        <v>Elena</v>
      </c>
      <c r="N107" s="47" t="str">
        <f t="shared" ca="1" si="70"/>
        <v/>
      </c>
      <c r="O107" s="47" t="str">
        <f t="shared" ca="1" si="70"/>
        <v>Cody</v>
      </c>
      <c r="P107" s="47" t="str">
        <f t="shared" ca="1" si="70"/>
        <v>Christmas</v>
      </c>
      <c r="Q107" s="47" t="str">
        <f t="shared" ca="1" si="70"/>
        <v>Cameron</v>
      </c>
      <c r="R107" s="47" t="str">
        <f t="shared" ca="1" si="70"/>
        <v>Alex</v>
      </c>
      <c r="S107" s="13"/>
      <c r="T107" s="13"/>
      <c r="U107" s="13"/>
      <c r="V107" s="13"/>
    </row>
    <row r="108" spans="1:22" x14ac:dyDescent="0.25">
      <c r="A108" s="13" t="str">
        <f ca="1">Game!H368</f>
        <v>Josh</v>
      </c>
      <c r="B108" s="13">
        <f ca="1">IF(B107="","",INDEX(B$2:B$18,MATCH($A108,$A$2:$A$18,0)))</f>
        <v>16.322321659313264</v>
      </c>
      <c r="C108" s="13">
        <f ca="1">IF(C107="","",INDEX(C$2:C$18,MATCH($A108,$A$2:$A$18,0)))</f>
        <v>74.254574277272255</v>
      </c>
      <c r="D108" s="13">
        <f t="shared" ref="D108:R108" ca="1" si="71">IF(D107="","",INDEX(D$2:D$18,MATCH($A108,$A$2:$A$18,0)))</f>
        <v>12.100603246962368</v>
      </c>
      <c r="E108" s="13" t="str">
        <f t="shared" ca="1" si="71"/>
        <v/>
      </c>
      <c r="F108" s="13">
        <f t="shared" ca="1" si="71"/>
        <v>68.143352648752639</v>
      </c>
      <c r="G108" s="13">
        <f t="shared" ca="1" si="71"/>
        <v>15.422138284256448</v>
      </c>
      <c r="H108" s="13" t="str">
        <f t="shared" ca="1" si="71"/>
        <v/>
      </c>
      <c r="I108" s="13">
        <f t="shared" ca="1" si="71"/>
        <v>101</v>
      </c>
      <c r="J108" s="13">
        <f t="shared" ca="1" si="71"/>
        <v>43.203446070435945</v>
      </c>
      <c r="K108" s="13">
        <f t="shared" ca="1" si="71"/>
        <v>27.107808049853908</v>
      </c>
      <c r="L108" s="13">
        <f t="shared" ca="1" si="71"/>
        <v>36.113202703490856</v>
      </c>
      <c r="M108" s="13">
        <f t="shared" ca="1" si="71"/>
        <v>1.1992803304611785</v>
      </c>
      <c r="N108" s="13" t="str">
        <f t="shared" ca="1" si="71"/>
        <v/>
      </c>
      <c r="O108" s="13">
        <f t="shared" ca="1" si="71"/>
        <v>68.054883665149632</v>
      </c>
      <c r="P108" s="13">
        <f t="shared" ca="1" si="71"/>
        <v>15.17715993671249</v>
      </c>
      <c r="Q108" s="13">
        <f t="shared" ca="1" si="71"/>
        <v>41.253573787864298</v>
      </c>
      <c r="R108" s="13">
        <f t="shared" ca="1" si="71"/>
        <v>43.418986695772595</v>
      </c>
      <c r="S108" s="13"/>
      <c r="T108" s="13"/>
      <c r="U108" s="13"/>
      <c r="V108" s="13"/>
    </row>
    <row r="109" spans="1:2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x14ac:dyDescent="0.25">
      <c r="A110" s="13"/>
      <c r="B110" s="47" t="str">
        <f ca="1">IF(B92="","",B92)</f>
        <v>Raven</v>
      </c>
      <c r="C110" s="47" t="str">
        <f t="shared" ref="C110:R110" ca="1" si="72">IF(C92="","",C92)</f>
        <v>Ramses</v>
      </c>
      <c r="D110" s="47" t="str">
        <f t="shared" ca="1" si="72"/>
        <v>Paul</v>
      </c>
      <c r="E110" s="47" t="str">
        <f t="shared" ca="1" si="72"/>
        <v/>
      </c>
      <c r="F110" s="47" t="str">
        <f t="shared" ca="1" si="72"/>
        <v>Matt</v>
      </c>
      <c r="G110" s="47" t="str">
        <f t="shared" ca="1" si="72"/>
        <v>Mark</v>
      </c>
      <c r="H110" s="47" t="str">
        <f t="shared" ca="1" si="72"/>
        <v/>
      </c>
      <c r="I110" s="47" t="str">
        <f t="shared" ca="1" si="72"/>
        <v>Josh</v>
      </c>
      <c r="J110" s="47" t="str">
        <f t="shared" ca="1" si="72"/>
        <v>Jillian</v>
      </c>
      <c r="K110" s="47" t="str">
        <f t="shared" ca="1" si="72"/>
        <v>Jessica</v>
      </c>
      <c r="L110" s="47" t="str">
        <f t="shared" ca="1" si="72"/>
        <v>Jason</v>
      </c>
      <c r="M110" s="47" t="str">
        <f t="shared" ca="1" si="72"/>
        <v>Elena</v>
      </c>
      <c r="N110" s="47" t="str">
        <f t="shared" ca="1" si="72"/>
        <v/>
      </c>
      <c r="O110" s="47" t="str">
        <f t="shared" ca="1" si="72"/>
        <v>Cody</v>
      </c>
      <c r="P110" s="47" t="str">
        <f t="shared" ca="1" si="72"/>
        <v>Christmas</v>
      </c>
      <c r="Q110" s="47" t="str">
        <f t="shared" ca="1" si="72"/>
        <v>Cameron</v>
      </c>
      <c r="R110" s="47" t="str">
        <f t="shared" ca="1" si="72"/>
        <v>Alex</v>
      </c>
      <c r="S110" s="13"/>
      <c r="T110" s="13"/>
      <c r="U110" s="13"/>
      <c r="V110" s="13"/>
    </row>
    <row r="111" spans="1:22" x14ac:dyDescent="0.25">
      <c r="A111" s="13" t="str">
        <f ca="1">Game!A388</f>
        <v>Raven</v>
      </c>
      <c r="B111" s="13">
        <f ca="1">IF(B110="","",INDEX(B$2:B$18,MATCH($A111,$A$2:$A$18,0)))</f>
        <v>101</v>
      </c>
      <c r="C111" s="13">
        <f t="shared" ref="C111:R111" ca="1" si="73">IF(C110="","",INDEX(C$2:C$18,MATCH($A111,$A$2:$A$18,0)))</f>
        <v>61.058885096535313</v>
      </c>
      <c r="D111" s="13">
        <f t="shared" ca="1" si="73"/>
        <v>3.2624021588646253</v>
      </c>
      <c r="E111" s="13" t="str">
        <f t="shared" ca="1" si="73"/>
        <v/>
      </c>
      <c r="F111" s="13">
        <f t="shared" ca="1" si="73"/>
        <v>16.041606218120869</v>
      </c>
      <c r="G111" s="13">
        <f t="shared" ca="1" si="73"/>
        <v>14.404075662040396</v>
      </c>
      <c r="H111" s="13" t="str">
        <f t="shared" ca="1" si="73"/>
        <v/>
      </c>
      <c r="I111" s="13">
        <f t="shared" ca="1" si="73"/>
        <v>16.322321659313264</v>
      </c>
      <c r="J111" s="13">
        <f t="shared" ca="1" si="73"/>
        <v>25.012998050500968</v>
      </c>
      <c r="K111" s="13">
        <f t="shared" ca="1" si="73"/>
        <v>82.335943293871836</v>
      </c>
      <c r="L111" s="13">
        <f t="shared" ca="1" si="73"/>
        <v>26.449699295094824</v>
      </c>
      <c r="M111" s="13">
        <f t="shared" ca="1" si="73"/>
        <v>56.2767320805171</v>
      </c>
      <c r="N111" s="13" t="str">
        <f t="shared" ca="1" si="73"/>
        <v/>
      </c>
      <c r="O111" s="13">
        <f t="shared" ca="1" si="73"/>
        <v>73.03778757742748</v>
      </c>
      <c r="P111" s="13">
        <f t="shared" ca="1" si="73"/>
        <v>49.206725336114673</v>
      </c>
      <c r="Q111" s="13">
        <f t="shared" ca="1" si="73"/>
        <v>47.409368445659858</v>
      </c>
      <c r="R111" s="13">
        <f t="shared" ca="1" si="73"/>
        <v>27.072683409527087</v>
      </c>
      <c r="S111" s="13"/>
      <c r="T111" s="13"/>
      <c r="U111" s="13"/>
      <c r="V111" s="13"/>
    </row>
    <row r="112" spans="1:2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x14ac:dyDescent="0.25">
      <c r="A113" t="s">
        <v>113</v>
      </c>
      <c r="B113" t="str">
        <f ca="1">Game!G397</f>
        <v>Elena</v>
      </c>
      <c r="C113" t="str">
        <f ca="1">Game!G399</f>
        <v>Paul</v>
      </c>
      <c r="D113" t="str">
        <f ca="1">IF(Game!F404=1,Game!F403,"")</f>
        <v/>
      </c>
      <c r="E113" s="13"/>
      <c r="F113" s="13"/>
      <c r="G113" s="13"/>
      <c r="H113" s="13"/>
      <c r="I113" s="13"/>
      <c r="J113" s="13"/>
      <c r="K113" s="13"/>
      <c r="L113" s="13"/>
      <c r="M113" s="13"/>
      <c r="N113" s="13"/>
      <c r="O113" s="13"/>
      <c r="P113" s="13"/>
      <c r="Q113" s="13"/>
      <c r="R113" s="13"/>
      <c r="S113" s="13"/>
      <c r="T113" s="13"/>
      <c r="U113" s="13"/>
      <c r="V113" s="13"/>
    </row>
    <row r="114" spans="1:22" x14ac:dyDescent="0.25">
      <c r="A114">
        <f>A66</f>
        <v>65</v>
      </c>
      <c r="B114" t="str">
        <f ca="1">IF(COUNTIF($B113:$D113,B$1)=0,"",B$1)</f>
        <v/>
      </c>
      <c r="C114" t="str">
        <f t="shared" ref="C114:R114" ca="1" si="74">IF(COUNTIF($B113:$D113,C$1)=0,"",C$1)</f>
        <v/>
      </c>
      <c r="D114" t="str">
        <f t="shared" ca="1" si="74"/>
        <v>Paul</v>
      </c>
      <c r="E114" t="str">
        <f t="shared" ca="1" si="74"/>
        <v/>
      </c>
      <c r="F114" t="str">
        <f t="shared" ca="1" si="74"/>
        <v/>
      </c>
      <c r="G114" t="str">
        <f t="shared" ca="1" si="74"/>
        <v/>
      </c>
      <c r="H114" t="str">
        <f t="shared" ca="1" si="74"/>
        <v/>
      </c>
      <c r="I114" t="str">
        <f t="shared" ca="1" si="74"/>
        <v/>
      </c>
      <c r="J114" t="str">
        <f t="shared" ca="1" si="74"/>
        <v/>
      </c>
      <c r="K114" t="str">
        <f t="shared" ca="1" si="74"/>
        <v/>
      </c>
      <c r="L114" t="str">
        <f t="shared" ca="1" si="74"/>
        <v/>
      </c>
      <c r="M114" t="str">
        <f t="shared" ca="1" si="74"/>
        <v>Elena</v>
      </c>
      <c r="N114" t="str">
        <f t="shared" ca="1" si="74"/>
        <v/>
      </c>
      <c r="O114" t="str">
        <f t="shared" ca="1" si="74"/>
        <v/>
      </c>
      <c r="P114" t="str">
        <f t="shared" ca="1" si="74"/>
        <v/>
      </c>
      <c r="Q114" t="str">
        <f t="shared" ca="1" si="74"/>
        <v/>
      </c>
      <c r="R114" t="str">
        <f t="shared" ca="1" si="74"/>
        <v/>
      </c>
      <c r="S114" s="13"/>
      <c r="T114" s="13"/>
      <c r="U114" s="13"/>
      <c r="V114" s="13"/>
    </row>
    <row r="115" spans="1:22" x14ac:dyDescent="0.25">
      <c r="A115" t="str">
        <f ca="1">Game!H423</f>
        <v>Christmas</v>
      </c>
      <c r="B115" t="str">
        <f ca="1">IF(B114="","",INDEX(B$2:B$18,MATCH($A$115,$A$2:$A$18,0)))</f>
        <v/>
      </c>
      <c r="C115" t="str">
        <f t="shared" ref="C115:R115" ca="1" si="75">IF(C114="","",INDEX(C$2:C$18,MATCH($A$115,$A$2:$A$18,0)))</f>
        <v/>
      </c>
      <c r="D115">
        <f t="shared" ca="1" si="75"/>
        <v>53.29140447056318</v>
      </c>
      <c r="E115" t="str">
        <f t="shared" ca="1" si="75"/>
        <v/>
      </c>
      <c r="F115" t="str">
        <f t="shared" ca="1" si="75"/>
        <v/>
      </c>
      <c r="G115" t="str">
        <f t="shared" ca="1" si="75"/>
        <v/>
      </c>
      <c r="H115" t="str">
        <f t="shared" ca="1" si="75"/>
        <v/>
      </c>
      <c r="I115" t="str">
        <f t="shared" ca="1" si="75"/>
        <v/>
      </c>
      <c r="J115" t="str">
        <f t="shared" ca="1" si="75"/>
        <v/>
      </c>
      <c r="K115" t="str">
        <f t="shared" ca="1" si="75"/>
        <v/>
      </c>
      <c r="L115" t="str">
        <f t="shared" ca="1" si="75"/>
        <v/>
      </c>
      <c r="M115">
        <f t="shared" ca="1" si="75"/>
        <v>63.422646957515994</v>
      </c>
      <c r="N115" t="str">
        <f t="shared" ca="1" si="75"/>
        <v/>
      </c>
      <c r="O115" t="str">
        <f t="shared" ca="1" si="75"/>
        <v/>
      </c>
      <c r="P115" t="str">
        <f t="shared" ca="1" si="75"/>
        <v/>
      </c>
      <c r="Q115" t="str">
        <f t="shared" ca="1" si="75"/>
        <v/>
      </c>
      <c r="R115" t="str">
        <f t="shared" ca="1" si="75"/>
        <v/>
      </c>
      <c r="S115" s="13"/>
      <c r="T115" s="13"/>
      <c r="U115" s="13"/>
      <c r="V115" s="13"/>
    </row>
    <row r="116" spans="1:22" x14ac:dyDescent="0.25">
      <c r="A116">
        <f ca="1">LARGE(B115:R115,1)</f>
        <v>63.422646957515994</v>
      </c>
      <c r="E116" s="13"/>
      <c r="F116" s="13"/>
      <c r="G116" s="13"/>
      <c r="H116" s="13"/>
      <c r="I116" s="13"/>
      <c r="J116" s="13"/>
      <c r="K116" s="13"/>
      <c r="L116" s="13"/>
      <c r="M116" s="13"/>
      <c r="N116" s="13"/>
      <c r="O116" s="13"/>
      <c r="P116" s="13"/>
      <c r="Q116" s="13"/>
      <c r="R116" s="13"/>
      <c r="S116" s="13"/>
      <c r="T116" s="13"/>
      <c r="U116" s="13"/>
      <c r="V116" s="13"/>
    </row>
    <row r="117" spans="1:22" x14ac:dyDescent="0.25">
      <c r="A117" t="str">
        <f ca="1">IF(A116&lt;=A114-1,IF(D113="","Neither Nominee","Nobody"),INDEX(B114:R114,MATCH(A116,B115:R115,0)))</f>
        <v>Neither Nominee</v>
      </c>
      <c r="E117" s="13"/>
      <c r="F117" s="13"/>
      <c r="G117" s="13"/>
      <c r="H117" s="13"/>
      <c r="I117" s="13"/>
      <c r="J117" s="13"/>
      <c r="K117" s="13"/>
      <c r="L117" s="13"/>
      <c r="M117" s="13"/>
      <c r="N117" s="13"/>
      <c r="O117" s="13"/>
      <c r="P117" s="13"/>
      <c r="Q117" s="13"/>
      <c r="R117" s="13"/>
      <c r="S117" s="13"/>
      <c r="T117" s="13"/>
      <c r="U117" s="13"/>
      <c r="V117" s="13"/>
    </row>
    <row r="118" spans="1:2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x14ac:dyDescent="0.25">
      <c r="A119" s="13"/>
      <c r="B119" s="13" t="str">
        <f t="shared" ref="B119:R119" ca="1" si="76">B92</f>
        <v>Raven</v>
      </c>
      <c r="C119" s="13" t="str">
        <f t="shared" ca="1" si="76"/>
        <v>Ramses</v>
      </c>
      <c r="D119" s="13" t="str">
        <f t="shared" ca="1" si="76"/>
        <v>Paul</v>
      </c>
      <c r="E119" s="13" t="str">
        <f t="shared" ca="1" si="76"/>
        <v/>
      </c>
      <c r="F119" s="13" t="str">
        <f t="shared" ca="1" si="76"/>
        <v>Matt</v>
      </c>
      <c r="G119" s="13" t="str">
        <f t="shared" ca="1" si="76"/>
        <v>Mark</v>
      </c>
      <c r="H119" s="13" t="str">
        <f t="shared" ca="1" si="76"/>
        <v/>
      </c>
      <c r="I119" s="13" t="str">
        <f t="shared" ca="1" si="76"/>
        <v>Josh</v>
      </c>
      <c r="J119" s="13" t="str">
        <f t="shared" ca="1" si="76"/>
        <v>Jillian</v>
      </c>
      <c r="K119" s="13" t="str">
        <f t="shared" ca="1" si="76"/>
        <v>Jessica</v>
      </c>
      <c r="L119" s="13" t="str">
        <f t="shared" ca="1" si="76"/>
        <v>Jason</v>
      </c>
      <c r="M119" s="13" t="str">
        <f t="shared" ca="1" si="76"/>
        <v>Elena</v>
      </c>
      <c r="N119" s="13" t="str">
        <f t="shared" ca="1" si="76"/>
        <v/>
      </c>
      <c r="O119" s="13" t="str">
        <f t="shared" ca="1" si="76"/>
        <v>Cody</v>
      </c>
      <c r="P119" s="13" t="str">
        <f t="shared" ca="1" si="76"/>
        <v>Christmas</v>
      </c>
      <c r="Q119" s="13" t="str">
        <f t="shared" ca="1" si="76"/>
        <v>Cameron</v>
      </c>
      <c r="R119" s="13" t="str">
        <f t="shared" ca="1" si="76"/>
        <v>Alex</v>
      </c>
      <c r="S119" s="13"/>
      <c r="T119" s="13"/>
      <c r="U119" s="13"/>
      <c r="V119" s="13"/>
    </row>
    <row r="120" spans="1:22" x14ac:dyDescent="0.25">
      <c r="A120" s="13" t="str">
        <f ca="1">Game!G437</f>
        <v>Elena</v>
      </c>
      <c r="B120">
        <f t="shared" ref="B120:K121" ca="1" si="77">IF(B119="","",INDEX(B$2:B$18,MATCH($A120,$A$2:$A$18,0)))</f>
        <v>56.2767320805171</v>
      </c>
      <c r="C120">
        <f t="shared" ca="1" si="77"/>
        <v>12.228426676996929</v>
      </c>
      <c r="D120">
        <f t="shared" ca="1" si="77"/>
        <v>41.015339216176564</v>
      </c>
      <c r="E120" t="str">
        <f t="shared" ca="1" si="77"/>
        <v/>
      </c>
      <c r="F120">
        <f t="shared" ca="1" si="77"/>
        <v>5.1215439768423332</v>
      </c>
      <c r="G120">
        <f t="shared" ca="1" si="77"/>
        <v>42.203489365903273</v>
      </c>
      <c r="H120" t="str">
        <f t="shared" ca="1" si="77"/>
        <v/>
      </c>
      <c r="I120">
        <f t="shared" ca="1" si="77"/>
        <v>1.1992803304611785</v>
      </c>
      <c r="J120">
        <f t="shared" ca="1" si="77"/>
        <v>61.021456882754954</v>
      </c>
      <c r="K120">
        <f t="shared" ca="1" si="77"/>
        <v>70.399092792834807</v>
      </c>
      <c r="L120">
        <f t="shared" ref="L120:R121" ca="1" si="78">IF(L119="","",INDEX(L$2:L$18,MATCH($A120,$A$2:$A$18,0)))</f>
        <v>30.397908622093482</v>
      </c>
      <c r="M120">
        <f t="shared" ca="1" si="78"/>
        <v>101</v>
      </c>
      <c r="N120" t="str">
        <f t="shared" ca="1" si="78"/>
        <v/>
      </c>
      <c r="O120">
        <f t="shared" ca="1" si="78"/>
        <v>82.363856292644456</v>
      </c>
      <c r="P120">
        <f t="shared" ca="1" si="78"/>
        <v>63.422646957515994</v>
      </c>
      <c r="Q120">
        <f t="shared" ca="1" si="78"/>
        <v>12.409183957135806</v>
      </c>
      <c r="R120">
        <f t="shared" ca="1" si="78"/>
        <v>71.225585308804355</v>
      </c>
      <c r="S120" s="13"/>
      <c r="T120" s="13"/>
      <c r="U120" s="13"/>
      <c r="V120" s="13"/>
    </row>
    <row r="121" spans="1:22" x14ac:dyDescent="0.25">
      <c r="A121" s="13" t="str">
        <f ca="1">Game!H437</f>
        <v>Paul</v>
      </c>
      <c r="B121">
        <f t="shared" ca="1" si="77"/>
        <v>3.2624021588646253</v>
      </c>
      <c r="C121">
        <f t="shared" ca="1" si="77"/>
        <v>73.374904379002274</v>
      </c>
      <c r="D121">
        <f t="shared" ca="1" si="77"/>
        <v>101</v>
      </c>
      <c r="E121" t="str">
        <f t="shared" ca="1" si="77"/>
        <v/>
      </c>
      <c r="F121">
        <f t="shared" ca="1" si="77"/>
        <v>67.088670351686758</v>
      </c>
      <c r="G121">
        <f t="shared" ca="1" si="77"/>
        <v>33.124008590904644</v>
      </c>
      <c r="H121" t="str">
        <f t="shared" ca="1" si="77"/>
        <v/>
      </c>
      <c r="I121">
        <f t="shared" ca="1" si="77"/>
        <v>12.100603246962368</v>
      </c>
      <c r="J121">
        <f t="shared" ca="1" si="77"/>
        <v>77.05886219496287</v>
      </c>
      <c r="K121">
        <f t="shared" ca="1" si="77"/>
        <v>50.053327478035513</v>
      </c>
      <c r="L121">
        <f t="shared" ca="1" si="78"/>
        <v>42.41311274915639</v>
      </c>
      <c r="M121">
        <f t="shared" ca="1" si="78"/>
        <v>41.015339216176564</v>
      </c>
      <c r="N121" t="str">
        <f t="shared" ca="1" si="78"/>
        <v/>
      </c>
      <c r="O121">
        <f t="shared" ca="1" si="78"/>
        <v>29.125927884074365</v>
      </c>
      <c r="P121">
        <f t="shared" ca="1" si="78"/>
        <v>53.29140447056318</v>
      </c>
      <c r="Q121">
        <f t="shared" ca="1" si="78"/>
        <v>10.126848194985453</v>
      </c>
      <c r="R121">
        <f t="shared" ca="1" si="78"/>
        <v>9.0531646568378896</v>
      </c>
      <c r="S121" s="13"/>
      <c r="T121" s="13"/>
      <c r="U121" s="13"/>
      <c r="V121" s="13"/>
    </row>
    <row r="122" spans="1:22" x14ac:dyDescent="0.25">
      <c r="A122" s="13" t="str">
        <f ca="1">Game!I437</f>
        <v/>
      </c>
      <c r="B122" t="str">
        <f ca="1">IF(A122="","",IF(B121="","",INDEX(B$2:B$18,MATCH($A122,$A$2:$A$18,0))))</f>
        <v/>
      </c>
      <c r="C122" t="str">
        <f t="shared" ref="C122:R122" ca="1" si="79">IF($A122="","",IF(C121="","",INDEX(C$2:C$18,MATCH($A122,$A$2:$A$18,0))))</f>
        <v/>
      </c>
      <c r="D122" t="str">
        <f t="shared" ca="1" si="79"/>
        <v/>
      </c>
      <c r="E122" t="str">
        <f t="shared" ca="1" si="79"/>
        <v/>
      </c>
      <c r="F122" t="str">
        <f t="shared" ca="1" si="79"/>
        <v/>
      </c>
      <c r="G122" t="str">
        <f t="shared" ca="1" si="79"/>
        <v/>
      </c>
      <c r="H122" t="str">
        <f t="shared" ca="1" si="79"/>
        <v/>
      </c>
      <c r="I122" t="str">
        <f t="shared" ca="1" si="79"/>
        <v/>
      </c>
      <c r="J122" t="str">
        <f t="shared" ca="1" si="79"/>
        <v/>
      </c>
      <c r="K122" t="str">
        <f t="shared" ca="1" si="79"/>
        <v/>
      </c>
      <c r="L122" t="str">
        <f t="shared" ca="1" si="79"/>
        <v/>
      </c>
      <c r="M122" t="str">
        <f t="shared" ca="1" si="79"/>
        <v/>
      </c>
      <c r="N122" t="str">
        <f t="shared" ca="1" si="79"/>
        <v/>
      </c>
      <c r="O122" t="str">
        <f t="shared" ca="1" si="79"/>
        <v/>
      </c>
      <c r="P122" t="str">
        <f t="shared" ca="1" si="79"/>
        <v/>
      </c>
      <c r="Q122" t="str">
        <f t="shared" ca="1" si="79"/>
        <v/>
      </c>
      <c r="R122" t="str">
        <f t="shared" ca="1" si="79"/>
        <v/>
      </c>
      <c r="S122" s="13"/>
      <c r="T122" s="13"/>
      <c r="U122" s="13"/>
      <c r="V122" s="13"/>
    </row>
    <row r="123" spans="1:22" x14ac:dyDescent="0.25">
      <c r="A123" s="13"/>
      <c r="B123" t="str">
        <f ca="1">IF(B119="","",INDEX(A120:A122,MATCH(SMALL(B120:B122,1),B120:B122,0)))</f>
        <v>Paul</v>
      </c>
      <c r="C123" t="str">
        <f t="shared" ref="C123:R123" ca="1" si="80">IF(C119="","",INDEX($A120:$A122,MATCH(SMALL(C120:C122,1),C120:C122,0)))</f>
        <v>Elena</v>
      </c>
      <c r="D123" t="str">
        <f t="shared" ca="1" si="80"/>
        <v>Elena</v>
      </c>
      <c r="E123" t="str">
        <f t="shared" ca="1" si="80"/>
        <v/>
      </c>
      <c r="F123" t="str">
        <f t="shared" ca="1" si="80"/>
        <v>Elena</v>
      </c>
      <c r="G123" t="str">
        <f t="shared" ca="1" si="80"/>
        <v>Paul</v>
      </c>
      <c r="H123" t="str">
        <f t="shared" ca="1" si="80"/>
        <v/>
      </c>
      <c r="I123" t="str">
        <f t="shared" ca="1" si="80"/>
        <v>Elena</v>
      </c>
      <c r="J123" t="str">
        <f t="shared" ca="1" si="80"/>
        <v>Elena</v>
      </c>
      <c r="K123" t="str">
        <f t="shared" ca="1" si="80"/>
        <v>Paul</v>
      </c>
      <c r="L123" t="str">
        <f t="shared" ca="1" si="80"/>
        <v>Elena</v>
      </c>
      <c r="M123" t="str">
        <f t="shared" ca="1" si="80"/>
        <v>Paul</v>
      </c>
      <c r="N123" t="str">
        <f t="shared" ca="1" si="80"/>
        <v/>
      </c>
      <c r="O123" t="str">
        <f t="shared" ca="1" si="80"/>
        <v>Paul</v>
      </c>
      <c r="P123" t="str">
        <f t="shared" ca="1" si="80"/>
        <v>Paul</v>
      </c>
      <c r="Q123" t="str">
        <f t="shared" ca="1" si="80"/>
        <v>Paul</v>
      </c>
      <c r="R123" t="str">
        <f t="shared" ca="1" si="80"/>
        <v>Paul</v>
      </c>
      <c r="S123" s="13"/>
      <c r="T123" s="13"/>
      <c r="U123" s="13"/>
      <c r="V123" s="13"/>
    </row>
    <row r="124" spans="1:2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x14ac:dyDescent="0.25">
      <c r="A125" s="13" t="str">
        <f ca="1">Game!G460</f>
        <v>Paul</v>
      </c>
      <c r="B125" s="13" t="str">
        <f t="shared" ref="B125:R125" ca="1" si="81">IF(B92="","",IF($A$125=B92,"",B92))</f>
        <v>Raven</v>
      </c>
      <c r="C125" s="13" t="str">
        <f t="shared" ca="1" si="81"/>
        <v>Ramses</v>
      </c>
      <c r="D125" s="13" t="str">
        <f t="shared" ca="1" si="81"/>
        <v/>
      </c>
      <c r="E125" s="13" t="str">
        <f t="shared" ca="1" si="81"/>
        <v/>
      </c>
      <c r="F125" s="13" t="str">
        <f t="shared" ca="1" si="81"/>
        <v>Matt</v>
      </c>
      <c r="G125" s="13" t="str">
        <f t="shared" ca="1" si="81"/>
        <v>Mark</v>
      </c>
      <c r="H125" s="13" t="str">
        <f t="shared" ca="1" si="81"/>
        <v/>
      </c>
      <c r="I125" s="13" t="str">
        <f t="shared" ca="1" si="81"/>
        <v>Josh</v>
      </c>
      <c r="J125" s="13" t="str">
        <f t="shared" ca="1" si="81"/>
        <v>Jillian</v>
      </c>
      <c r="K125" s="13" t="str">
        <f t="shared" ca="1" si="81"/>
        <v>Jessica</v>
      </c>
      <c r="L125" s="13" t="str">
        <f t="shared" ca="1" si="81"/>
        <v>Jason</v>
      </c>
      <c r="M125" s="13" t="str">
        <f t="shared" ca="1" si="81"/>
        <v>Elena</v>
      </c>
      <c r="N125" s="13" t="str">
        <f t="shared" ca="1" si="81"/>
        <v/>
      </c>
      <c r="O125" s="13" t="str">
        <f t="shared" ca="1" si="81"/>
        <v>Cody</v>
      </c>
      <c r="P125" s="13" t="str">
        <f t="shared" ca="1" si="81"/>
        <v>Christmas</v>
      </c>
      <c r="Q125" s="13" t="str">
        <f t="shared" ca="1" si="81"/>
        <v>Cameron</v>
      </c>
      <c r="R125" s="13" t="str">
        <f t="shared" ca="1" si="81"/>
        <v>Alex</v>
      </c>
      <c r="S125" s="13"/>
      <c r="T125" s="13"/>
      <c r="U125" s="13"/>
      <c r="V125" s="13"/>
    </row>
    <row r="126" spans="1:22" x14ac:dyDescent="0.25">
      <c r="A126" s="13"/>
      <c r="B126" s="13" t="str">
        <f ca="1">IF(B125="","",IF(B93=$A$125,B94,B93))</f>
        <v>Jessica</v>
      </c>
      <c r="C126" s="13" t="str">
        <f ca="1">IF(C125="","",IF(C93=$A$125,C94,C93))</f>
        <v>Christmas</v>
      </c>
      <c r="D126" s="13" t="str">
        <f t="shared" ref="D126:R126" ca="1" si="82">IF(D125="","",IF(D93=$A$125,D94,D93))</f>
        <v/>
      </c>
      <c r="E126" s="13" t="str">
        <f t="shared" ca="1" si="82"/>
        <v/>
      </c>
      <c r="F126" s="13" t="str">
        <f t="shared" ca="1" si="82"/>
        <v>Christmas</v>
      </c>
      <c r="G126" s="13" t="str">
        <f t="shared" ca="1" si="82"/>
        <v>Alex</v>
      </c>
      <c r="H126" s="13" t="str">
        <f t="shared" ca="1" si="82"/>
        <v/>
      </c>
      <c r="I126" s="13" t="str">
        <f t="shared" ca="1" si="82"/>
        <v>Ramses</v>
      </c>
      <c r="J126" s="13" t="str">
        <f t="shared" ca="1" si="82"/>
        <v>Ramses</v>
      </c>
      <c r="K126" s="13" t="str">
        <f t="shared" ca="1" si="82"/>
        <v>Raven</v>
      </c>
      <c r="L126" s="13" t="str">
        <f t="shared" ca="1" si="82"/>
        <v>Matt</v>
      </c>
      <c r="M126" s="13" t="str">
        <f t="shared" ca="1" si="82"/>
        <v>Cody</v>
      </c>
      <c r="N126" s="13" t="str">
        <f t="shared" ca="1" si="82"/>
        <v/>
      </c>
      <c r="O126" s="13" t="str">
        <f t="shared" ca="1" si="82"/>
        <v>Elena</v>
      </c>
      <c r="P126" s="13" t="str">
        <f t="shared" ca="1" si="82"/>
        <v>Matt</v>
      </c>
      <c r="Q126" s="13" t="str">
        <f t="shared" ca="1" si="82"/>
        <v>Alex</v>
      </c>
      <c r="R126" s="13" t="str">
        <f t="shared" ca="1" si="82"/>
        <v>Mark</v>
      </c>
      <c r="S126" s="13"/>
      <c r="T126" s="13"/>
      <c r="U126" s="13"/>
      <c r="V126" s="13"/>
    </row>
    <row r="127" spans="1:22" x14ac:dyDescent="0.25">
      <c r="A127" s="13"/>
      <c r="B127" s="13" t="str">
        <f t="shared" ref="B127:B137" ca="1" si="83">IF(B126="","",IF(B126=B94,B95,IF(B94=$A$125,B95,B94)))</f>
        <v>Cody</v>
      </c>
      <c r="C127" s="13" t="str">
        <f t="shared" ref="C127:R127" ca="1" si="84">IF(C126="","",IF(C126=C94,C95,IF(C94=$A$125,C95,C94)))</f>
        <v>Josh</v>
      </c>
      <c r="D127" s="13" t="str">
        <f t="shared" ca="1" si="84"/>
        <v/>
      </c>
      <c r="E127" s="13" t="str">
        <f t="shared" ca="1" si="84"/>
        <v/>
      </c>
      <c r="F127" s="13" t="str">
        <f t="shared" ca="1" si="84"/>
        <v>Jason</v>
      </c>
      <c r="G127" s="13" t="str">
        <f t="shared" ca="1" si="84"/>
        <v>Christmas</v>
      </c>
      <c r="H127" s="13" t="str">
        <f t="shared" ca="1" si="84"/>
        <v/>
      </c>
      <c r="I127" s="13" t="str">
        <f t="shared" ca="1" si="84"/>
        <v>Matt</v>
      </c>
      <c r="J127" s="13" t="str">
        <f t="shared" ca="1" si="84"/>
        <v>Jason</v>
      </c>
      <c r="K127" s="13" t="str">
        <f t="shared" ca="1" si="84"/>
        <v>Elena</v>
      </c>
      <c r="L127" s="13" t="str">
        <f t="shared" ca="1" si="84"/>
        <v>Jillian</v>
      </c>
      <c r="M127" s="13" t="str">
        <f t="shared" ca="1" si="84"/>
        <v>Alex</v>
      </c>
      <c r="N127" s="13" t="str">
        <f t="shared" ca="1" si="84"/>
        <v/>
      </c>
      <c r="O127" s="13" t="str">
        <f t="shared" ca="1" si="84"/>
        <v>Matt</v>
      </c>
      <c r="P127" s="13" t="str">
        <f t="shared" ca="1" si="84"/>
        <v>Ramses</v>
      </c>
      <c r="Q127" s="13" t="str">
        <f t="shared" ca="1" si="84"/>
        <v>Cody</v>
      </c>
      <c r="R127" s="13" t="str">
        <f t="shared" ca="1" si="84"/>
        <v>Cameron</v>
      </c>
      <c r="S127" s="13"/>
      <c r="T127" s="13"/>
      <c r="U127" s="13"/>
      <c r="V127" s="13"/>
    </row>
    <row r="128" spans="1:22" x14ac:dyDescent="0.25">
      <c r="A128" s="13"/>
      <c r="B128" s="13" t="str">
        <f t="shared" ca="1" si="83"/>
        <v>Ramses</v>
      </c>
      <c r="C128" s="13" t="str">
        <f t="shared" ref="C128:C137" ca="1" si="85">IF(C127="","",IF(C127=C95,C96,IF(C95=$A$125,C96,C95)))</f>
        <v>Jillian</v>
      </c>
      <c r="D128" s="13" t="str">
        <f t="shared" ref="D128:D137" ca="1" si="86">IF(D127="","",IF(D127=D95,D96,IF(D95=$A$125,D96,D95)))</f>
        <v/>
      </c>
      <c r="E128" s="13" t="str">
        <f t="shared" ref="E128:E137" ca="1" si="87">IF(E127="","",IF(E127=E95,E96,IF(E95=$A$125,E96,E95)))</f>
        <v/>
      </c>
      <c r="F128" s="13" t="str">
        <f t="shared" ref="F128:F137" ca="1" si="88">IF(F127="","",IF(F127=F95,F96,IF(F95=$A$125,F96,F95)))</f>
        <v>Cody</v>
      </c>
      <c r="G128" s="13" t="str">
        <f t="shared" ref="G128:G137" ca="1" si="89">IF(G127="","",IF(G127=G95,G96,IF(G95=$A$125,G96,G95)))</f>
        <v>Jessica</v>
      </c>
      <c r="H128" s="13" t="str">
        <f t="shared" ref="H128:H137" ca="1" si="90">IF(H127="","",IF(H127=H95,H96,IF(H95=$A$125,H96,H95)))</f>
        <v/>
      </c>
      <c r="I128" s="13" t="str">
        <f t="shared" ref="I128:I137" ca="1" si="91">IF(I127="","",IF(I127=I95,I96,IF(I95=$A$125,I96,I95)))</f>
        <v>Cody</v>
      </c>
      <c r="J128" s="13" t="str">
        <f t="shared" ref="J128:J137" ca="1" si="92">IF(J127="","",IF(J127=J95,J96,IF(J95=$A$125,J96,J95)))</f>
        <v>Cameron</v>
      </c>
      <c r="K128" s="13" t="str">
        <f t="shared" ref="K128:K137" ca="1" si="93">IF(K127="","",IF(K127=K95,K96,IF(K95=$A$125,K96,K95)))</f>
        <v>Christmas</v>
      </c>
      <c r="L128" s="13" t="str">
        <f t="shared" ref="L128:L137" ca="1" si="94">IF(L127="","",IF(L127=L95,L96,IF(L95=$A$125,L96,L95)))</f>
        <v>Alex</v>
      </c>
      <c r="M128" s="13" t="str">
        <f t="shared" ref="M128:M137" ca="1" si="95">IF(M127="","",IF(M127=M95,M96,IF(M95=$A$125,M96,M95)))</f>
        <v>Jessica</v>
      </c>
      <c r="N128" s="13" t="str">
        <f t="shared" ref="N128:N137" ca="1" si="96">IF(N127="","",IF(N127=N95,N96,IF(N95=$A$125,N96,N95)))</f>
        <v/>
      </c>
      <c r="O128" s="13" t="str">
        <f t="shared" ref="O128:O137" ca="1" si="97">IF(O127="","",IF(O127=O95,O96,IF(O95=$A$125,O96,O95)))</f>
        <v>Raven</v>
      </c>
      <c r="P128" s="13" t="str">
        <f t="shared" ref="P128:P137" ca="1" si="98">IF(P127="","",IF(P127=P95,P96,IF(P95=$A$125,P96,P95)))</f>
        <v>Mark</v>
      </c>
      <c r="Q128" s="13" t="str">
        <f t="shared" ref="Q128:Q137" ca="1" si="99">IF(Q127="","",IF(Q127=Q95,Q96,IF(Q95=$A$125,Q96,Q95)))</f>
        <v>Matt</v>
      </c>
      <c r="R128" s="13" t="str">
        <f t="shared" ref="R128:R137" ca="1" si="100">IF(R127="","",IF(R127=R95,R96,IF(R95=$A$125,R96,R95)))</f>
        <v>Elena</v>
      </c>
      <c r="S128" s="13"/>
      <c r="T128" s="13"/>
      <c r="U128" s="13"/>
      <c r="V128" s="13"/>
    </row>
    <row r="129" spans="1:22" x14ac:dyDescent="0.25">
      <c r="A129" s="13"/>
      <c r="B129" s="13" t="str">
        <f t="shared" ca="1" si="83"/>
        <v>Elena</v>
      </c>
      <c r="C129" s="13" t="str">
        <f t="shared" ca="1" si="85"/>
        <v>Raven</v>
      </c>
      <c r="D129" s="13" t="str">
        <f t="shared" ca="1" si="86"/>
        <v/>
      </c>
      <c r="E129" s="13" t="str">
        <f t="shared" ca="1" si="87"/>
        <v/>
      </c>
      <c r="F129" s="13" t="str">
        <f t="shared" ca="1" si="88"/>
        <v>Cameron</v>
      </c>
      <c r="G129" s="13" t="str">
        <f t="shared" ca="1" si="89"/>
        <v>Jason</v>
      </c>
      <c r="H129" s="13" t="str">
        <f t="shared" ca="1" si="90"/>
        <v/>
      </c>
      <c r="I129" s="13" t="str">
        <f t="shared" ca="1" si="91"/>
        <v>Alex</v>
      </c>
      <c r="J129" s="13" t="str">
        <f t="shared" ca="1" si="92"/>
        <v>Elena</v>
      </c>
      <c r="K129" s="13" t="str">
        <f t="shared" ca="1" si="93"/>
        <v>Mark</v>
      </c>
      <c r="L129" s="13" t="str">
        <f t="shared" ca="1" si="94"/>
        <v>Jessica</v>
      </c>
      <c r="M129" s="13" t="str">
        <f t="shared" ca="1" si="95"/>
        <v>Christmas</v>
      </c>
      <c r="N129" s="13" t="str">
        <f t="shared" ca="1" si="96"/>
        <v/>
      </c>
      <c r="O129" s="13" t="str">
        <f t="shared" ca="1" si="97"/>
        <v>Cameron</v>
      </c>
      <c r="P129" s="13" t="str">
        <f t="shared" ca="1" si="98"/>
        <v>Jessica</v>
      </c>
      <c r="Q129" s="13" t="str">
        <f t="shared" ca="1" si="99"/>
        <v>Jillian</v>
      </c>
      <c r="R129" s="13" t="str">
        <f t="shared" ca="1" si="100"/>
        <v>Jason</v>
      </c>
      <c r="S129" s="13"/>
      <c r="T129" s="13"/>
      <c r="U129" s="13"/>
      <c r="V129" s="13"/>
    </row>
    <row r="130" spans="1:22" x14ac:dyDescent="0.25">
      <c r="A130" s="13"/>
      <c r="B130" s="13" t="str">
        <f t="shared" ca="1" si="83"/>
        <v>Christmas</v>
      </c>
      <c r="C130" s="13" t="str">
        <f t="shared" ca="1" si="85"/>
        <v>Jessica</v>
      </c>
      <c r="D130" s="13" t="str">
        <f t="shared" ca="1" si="86"/>
        <v/>
      </c>
      <c r="E130" s="13" t="str">
        <f t="shared" ca="1" si="87"/>
        <v/>
      </c>
      <c r="F130" s="13" t="str">
        <f t="shared" ca="1" si="88"/>
        <v>Josh</v>
      </c>
      <c r="G130" s="13" t="str">
        <f t="shared" ca="1" si="89"/>
        <v>Jillian</v>
      </c>
      <c r="H130" s="13" t="str">
        <f t="shared" ca="1" si="90"/>
        <v/>
      </c>
      <c r="I130" s="13" t="str">
        <f t="shared" ca="1" si="91"/>
        <v>Jillian</v>
      </c>
      <c r="J130" s="13" t="str">
        <f t="shared" ca="1" si="92"/>
        <v>Alex</v>
      </c>
      <c r="K130" s="13" t="str">
        <f t="shared" ca="1" si="93"/>
        <v>Ramses</v>
      </c>
      <c r="L130" s="13" t="str">
        <f t="shared" ca="1" si="94"/>
        <v>Mark</v>
      </c>
      <c r="M130" s="13" t="str">
        <f t="shared" ca="1" si="95"/>
        <v>Jillian</v>
      </c>
      <c r="N130" s="13" t="str">
        <f t="shared" ca="1" si="96"/>
        <v/>
      </c>
      <c r="O130" s="13" t="str">
        <f t="shared" ca="1" si="97"/>
        <v>Josh</v>
      </c>
      <c r="P130" s="13" t="str">
        <f t="shared" ca="1" si="98"/>
        <v>Elena</v>
      </c>
      <c r="Q130" s="13" t="str">
        <f t="shared" ca="1" si="99"/>
        <v>Raven</v>
      </c>
      <c r="R130" s="13" t="str">
        <f t="shared" ca="1" si="100"/>
        <v>Jillian</v>
      </c>
      <c r="S130" s="13"/>
      <c r="T130" s="13"/>
      <c r="U130" s="13"/>
      <c r="V130" s="13"/>
    </row>
    <row r="131" spans="1:22" x14ac:dyDescent="0.25">
      <c r="A131" s="13"/>
      <c r="B131" s="13" t="str">
        <f t="shared" ca="1" si="83"/>
        <v>Cameron</v>
      </c>
      <c r="C131" s="13" t="str">
        <f t="shared" ca="1" si="85"/>
        <v>Matt</v>
      </c>
      <c r="D131" s="13" t="str">
        <f t="shared" ca="1" si="86"/>
        <v/>
      </c>
      <c r="E131" s="13" t="str">
        <f t="shared" ca="1" si="87"/>
        <v/>
      </c>
      <c r="F131" s="13" t="str">
        <f t="shared" ca="1" si="88"/>
        <v>Ramses</v>
      </c>
      <c r="G131" s="13" t="str">
        <f t="shared" ca="1" si="89"/>
        <v>Elena</v>
      </c>
      <c r="H131" s="13" t="str">
        <f t="shared" ca="1" si="90"/>
        <v/>
      </c>
      <c r="I131" s="13" t="str">
        <f t="shared" ca="1" si="91"/>
        <v>Cameron</v>
      </c>
      <c r="J131" s="13" t="str">
        <f t="shared" ca="1" si="92"/>
        <v>Cody</v>
      </c>
      <c r="K131" s="13" t="str">
        <f t="shared" ca="1" si="93"/>
        <v>Jason</v>
      </c>
      <c r="L131" s="13" t="str">
        <f t="shared" ca="1" si="94"/>
        <v>Cody</v>
      </c>
      <c r="M131" s="13" t="str">
        <f t="shared" ca="1" si="95"/>
        <v>Raven</v>
      </c>
      <c r="N131" s="13" t="str">
        <f t="shared" ca="1" si="96"/>
        <v/>
      </c>
      <c r="O131" s="13" t="str">
        <f t="shared" ca="1" si="97"/>
        <v>Jillian</v>
      </c>
      <c r="P131" s="13" t="str">
        <f t="shared" ca="1" si="98"/>
        <v>Raven</v>
      </c>
      <c r="Q131" s="13" t="str">
        <f t="shared" ca="1" si="99"/>
        <v>Jessica</v>
      </c>
      <c r="R131" s="13" t="str">
        <f t="shared" ca="1" si="100"/>
        <v>Ramses</v>
      </c>
      <c r="S131" s="13"/>
      <c r="T131" s="13"/>
      <c r="U131" s="13"/>
      <c r="V131" s="13"/>
    </row>
    <row r="132" spans="1:22" x14ac:dyDescent="0.25">
      <c r="A132" s="13"/>
      <c r="B132" s="13" t="str">
        <f t="shared" ca="1" si="83"/>
        <v>Alex</v>
      </c>
      <c r="C132" s="13" t="str">
        <f t="shared" ca="1" si="85"/>
        <v>Alex</v>
      </c>
      <c r="D132" s="13" t="str">
        <f t="shared" ca="1" si="86"/>
        <v/>
      </c>
      <c r="E132" s="13" t="str">
        <f t="shared" ca="1" si="87"/>
        <v/>
      </c>
      <c r="F132" s="13" t="str">
        <f t="shared" ca="1" si="88"/>
        <v>Jessica</v>
      </c>
      <c r="G132" s="13" t="str">
        <f t="shared" ca="1" si="89"/>
        <v>Cody</v>
      </c>
      <c r="H132" s="13" t="str">
        <f t="shared" ca="1" si="90"/>
        <v/>
      </c>
      <c r="I132" s="13" t="str">
        <f t="shared" ca="1" si="91"/>
        <v>Jason</v>
      </c>
      <c r="J132" s="13" t="str">
        <f t="shared" ca="1" si="92"/>
        <v>Christmas</v>
      </c>
      <c r="K132" s="13" t="str">
        <f t="shared" ca="1" si="93"/>
        <v>Cody</v>
      </c>
      <c r="L132" s="13" t="str">
        <f t="shared" ca="1" si="94"/>
        <v>Josh</v>
      </c>
      <c r="M132" s="13" t="str">
        <f t="shared" ca="1" si="95"/>
        <v>Mark</v>
      </c>
      <c r="N132" s="13" t="str">
        <f t="shared" ca="1" si="96"/>
        <v/>
      </c>
      <c r="O132" s="13" t="str">
        <f t="shared" ca="1" si="97"/>
        <v>Jessica</v>
      </c>
      <c r="P132" s="13" t="str">
        <f t="shared" ca="1" si="98"/>
        <v>Jillian</v>
      </c>
      <c r="Q132" s="13" t="str">
        <f t="shared" ca="1" si="99"/>
        <v>Josh</v>
      </c>
      <c r="R132" s="13" t="str">
        <f t="shared" ca="1" si="100"/>
        <v>Josh</v>
      </c>
      <c r="S132" s="13"/>
      <c r="T132" s="13"/>
      <c r="U132" s="13"/>
      <c r="V132" s="13"/>
    </row>
    <row r="133" spans="1:22" x14ac:dyDescent="0.25">
      <c r="A133" s="13"/>
      <c r="B133" s="13" t="str">
        <f t="shared" ca="1" si="83"/>
        <v>Jason</v>
      </c>
      <c r="C133" s="13" t="str">
        <f t="shared" ca="1" si="85"/>
        <v>Mark</v>
      </c>
      <c r="D133" s="13" t="str">
        <f t="shared" ca="1" si="86"/>
        <v/>
      </c>
      <c r="E133" s="13" t="str">
        <f t="shared" ca="1" si="87"/>
        <v/>
      </c>
      <c r="F133" s="13" t="str">
        <f t="shared" ca="1" si="88"/>
        <v>Mark</v>
      </c>
      <c r="G133" s="13" t="str">
        <f t="shared" ca="1" si="89"/>
        <v>Matt</v>
      </c>
      <c r="H133" s="13" t="str">
        <f t="shared" ca="1" si="90"/>
        <v/>
      </c>
      <c r="I133" s="13" t="str">
        <f t="shared" ca="1" si="91"/>
        <v>Jessica</v>
      </c>
      <c r="J133" s="13" t="str">
        <f t="shared" ca="1" si="92"/>
        <v>Josh</v>
      </c>
      <c r="K133" s="13" t="str">
        <f t="shared" ca="1" si="93"/>
        <v>Cameron</v>
      </c>
      <c r="L133" s="13" t="str">
        <f t="shared" ca="1" si="94"/>
        <v>Elena</v>
      </c>
      <c r="M133" s="13" t="str">
        <f t="shared" ca="1" si="95"/>
        <v>Jason</v>
      </c>
      <c r="N133" s="13" t="str">
        <f t="shared" ca="1" si="96"/>
        <v/>
      </c>
      <c r="O133" s="13" t="str">
        <f t="shared" ca="1" si="97"/>
        <v>Jason</v>
      </c>
      <c r="P133" s="13" t="str">
        <f t="shared" ca="1" si="98"/>
        <v>Alex</v>
      </c>
      <c r="Q133" s="13" t="str">
        <f t="shared" ca="1" si="99"/>
        <v>Christmas</v>
      </c>
      <c r="R133" s="13" t="str">
        <f t="shared" ca="1" si="100"/>
        <v>Christmas</v>
      </c>
      <c r="S133" s="13"/>
      <c r="T133" s="13"/>
      <c r="U133" s="13"/>
      <c r="V133" s="13"/>
    </row>
    <row r="134" spans="1:22" x14ac:dyDescent="0.25">
      <c r="A134" s="13"/>
      <c r="B134" s="13" t="str">
        <f t="shared" ca="1" si="83"/>
        <v>Jillian</v>
      </c>
      <c r="C134" s="13" t="str">
        <f t="shared" ca="1" si="85"/>
        <v>Elena</v>
      </c>
      <c r="D134" s="13" t="str">
        <f t="shared" ca="1" si="86"/>
        <v/>
      </c>
      <c r="E134" s="13" t="str">
        <f t="shared" ca="1" si="87"/>
        <v/>
      </c>
      <c r="F134" s="13" t="str">
        <f t="shared" ca="1" si="88"/>
        <v>Jillian</v>
      </c>
      <c r="G134" s="13" t="str">
        <f t="shared" ca="1" si="89"/>
        <v>Cameron</v>
      </c>
      <c r="H134" s="13" t="str">
        <f t="shared" ca="1" si="90"/>
        <v/>
      </c>
      <c r="I134" s="13" t="str">
        <f t="shared" ca="1" si="91"/>
        <v>Raven</v>
      </c>
      <c r="J134" s="13" t="str">
        <f t="shared" ca="1" si="92"/>
        <v>Mark</v>
      </c>
      <c r="K134" s="13" t="str">
        <f t="shared" ca="1" si="93"/>
        <v>Matt</v>
      </c>
      <c r="L134" s="13" t="str">
        <f t="shared" ca="1" si="94"/>
        <v>Raven</v>
      </c>
      <c r="M134" s="13" t="str">
        <f t="shared" ca="1" si="95"/>
        <v>Cameron</v>
      </c>
      <c r="N134" s="13" t="str">
        <f t="shared" ca="1" si="96"/>
        <v/>
      </c>
      <c r="O134" s="13" t="str">
        <f t="shared" ca="1" si="97"/>
        <v>Mark</v>
      </c>
      <c r="P134" s="13" t="str">
        <f t="shared" ca="1" si="98"/>
        <v>Jason</v>
      </c>
      <c r="Q134" s="13" t="str">
        <f t="shared" ca="1" si="99"/>
        <v>Mark</v>
      </c>
      <c r="R134" s="13" t="str">
        <f t="shared" ca="1" si="100"/>
        <v>Jessica</v>
      </c>
      <c r="S134" s="13"/>
      <c r="T134" s="13"/>
      <c r="U134" s="13"/>
      <c r="V134" s="13"/>
    </row>
    <row r="135" spans="1:22" x14ac:dyDescent="0.25">
      <c r="A135" s="13"/>
      <c r="B135" s="13" t="str">
        <f t="shared" ca="1" si="83"/>
        <v>Josh</v>
      </c>
      <c r="C135" s="13" t="str">
        <f t="shared" ca="1" si="85"/>
        <v>Cody</v>
      </c>
      <c r="D135" s="13" t="str">
        <f t="shared" ca="1" si="86"/>
        <v/>
      </c>
      <c r="E135" s="13" t="str">
        <f t="shared" ca="1" si="87"/>
        <v/>
      </c>
      <c r="F135" s="13" t="str">
        <f t="shared" ca="1" si="88"/>
        <v>Raven</v>
      </c>
      <c r="G135" s="13" t="str">
        <f t="shared" ca="1" si="89"/>
        <v>Ramses</v>
      </c>
      <c r="H135" s="13" t="str">
        <f t="shared" ca="1" si="90"/>
        <v/>
      </c>
      <c r="I135" s="13" t="str">
        <f t="shared" ca="1" si="91"/>
        <v>Mark</v>
      </c>
      <c r="J135" s="13" t="str">
        <f t="shared" ca="1" si="92"/>
        <v>Raven</v>
      </c>
      <c r="K135" s="13" t="str">
        <f t="shared" ca="1" si="93"/>
        <v>Alex</v>
      </c>
      <c r="L135" s="13" t="str">
        <f t="shared" ca="1" si="94"/>
        <v>Christmas</v>
      </c>
      <c r="M135" s="13" t="str">
        <f t="shared" ca="1" si="95"/>
        <v>Ramses</v>
      </c>
      <c r="N135" s="13" t="str">
        <f t="shared" ca="1" si="96"/>
        <v/>
      </c>
      <c r="O135" s="13" t="str">
        <f t="shared" ca="1" si="97"/>
        <v>Alex</v>
      </c>
      <c r="P135" s="13" t="str">
        <f t="shared" ca="1" si="98"/>
        <v>Cameron</v>
      </c>
      <c r="Q135" s="13" t="str">
        <f t="shared" ca="1" si="99"/>
        <v>Jason</v>
      </c>
      <c r="R135" s="13" t="str">
        <f t="shared" ca="1" si="100"/>
        <v>Raven</v>
      </c>
      <c r="S135" s="13"/>
      <c r="T135" s="13"/>
      <c r="U135" s="13"/>
      <c r="V135" s="13"/>
    </row>
    <row r="136" spans="1:22" x14ac:dyDescent="0.25">
      <c r="A136" s="13"/>
      <c r="B136" s="13" t="str">
        <f t="shared" ca="1" si="83"/>
        <v>Matt</v>
      </c>
      <c r="C136" s="13" t="str">
        <f t="shared" ca="1" si="85"/>
        <v>Cameron</v>
      </c>
      <c r="D136" s="13" t="str">
        <f t="shared" ca="1" si="86"/>
        <v/>
      </c>
      <c r="E136" s="13" t="str">
        <f t="shared" ca="1" si="87"/>
        <v/>
      </c>
      <c r="F136" s="13" t="str">
        <f t="shared" ca="1" si="88"/>
        <v>Elena</v>
      </c>
      <c r="G136" s="13" t="str">
        <f t="shared" ca="1" si="89"/>
        <v>Josh</v>
      </c>
      <c r="H136" s="13" t="str">
        <f t="shared" ca="1" si="90"/>
        <v/>
      </c>
      <c r="I136" s="13" t="str">
        <f t="shared" ca="1" si="91"/>
        <v>Christmas</v>
      </c>
      <c r="J136" s="13" t="str">
        <f t="shared" ca="1" si="92"/>
        <v>Jessica</v>
      </c>
      <c r="K136" s="13" t="str">
        <f t="shared" ca="1" si="93"/>
        <v>Josh</v>
      </c>
      <c r="L136" s="13" t="str">
        <f t="shared" ca="1" si="94"/>
        <v>Cameron</v>
      </c>
      <c r="M136" s="13" t="str">
        <f t="shared" ca="1" si="95"/>
        <v>Matt</v>
      </c>
      <c r="N136" s="13" t="str">
        <f t="shared" ca="1" si="96"/>
        <v/>
      </c>
      <c r="O136" s="13" t="str">
        <f t="shared" ca="1" si="97"/>
        <v>Ramses</v>
      </c>
      <c r="P136" s="13" t="str">
        <f t="shared" ca="1" si="98"/>
        <v>Josh</v>
      </c>
      <c r="Q136" s="13" t="str">
        <f t="shared" ca="1" si="99"/>
        <v>Elena</v>
      </c>
      <c r="R136" s="13" t="str">
        <f t="shared" ca="1" si="100"/>
        <v>Cody</v>
      </c>
      <c r="S136" s="13"/>
      <c r="T136" s="13"/>
      <c r="U136" s="13"/>
      <c r="V136" s="13"/>
    </row>
    <row r="137" spans="1:22" x14ac:dyDescent="0.25">
      <c r="A137" s="13"/>
      <c r="B137" s="13" t="str">
        <f t="shared" ca="1" si="83"/>
        <v>Mark</v>
      </c>
      <c r="C137" s="13" t="str">
        <f t="shared" ca="1" si="85"/>
        <v>Jason</v>
      </c>
      <c r="D137" s="13" t="str">
        <f t="shared" ca="1" si="86"/>
        <v/>
      </c>
      <c r="E137" s="13" t="str">
        <f t="shared" ca="1" si="87"/>
        <v/>
      </c>
      <c r="F137" s="13" t="str">
        <f t="shared" ca="1" si="88"/>
        <v>Alex</v>
      </c>
      <c r="G137" s="13" t="str">
        <f t="shared" ca="1" si="89"/>
        <v>Raven</v>
      </c>
      <c r="H137" s="13" t="str">
        <f t="shared" ca="1" si="90"/>
        <v/>
      </c>
      <c r="I137" s="13" t="str">
        <f t="shared" ca="1" si="91"/>
        <v>Elena</v>
      </c>
      <c r="J137" s="13" t="str">
        <f t="shared" ca="1" si="92"/>
        <v>Matt</v>
      </c>
      <c r="K137" s="13" t="str">
        <f t="shared" ca="1" si="93"/>
        <v>Jillian</v>
      </c>
      <c r="L137" s="13" t="str">
        <f t="shared" ca="1" si="94"/>
        <v>Ramses</v>
      </c>
      <c r="M137" s="13" t="str">
        <f t="shared" ca="1" si="95"/>
        <v>Josh</v>
      </c>
      <c r="N137" s="13" t="str">
        <f t="shared" ca="1" si="96"/>
        <v/>
      </c>
      <c r="O137" s="13" t="str">
        <f t="shared" ca="1" si="97"/>
        <v>Christmas</v>
      </c>
      <c r="P137" s="13" t="str">
        <f t="shared" ca="1" si="98"/>
        <v>Cody</v>
      </c>
      <c r="Q137" s="13" t="str">
        <f t="shared" ca="1" si="99"/>
        <v>Ramses</v>
      </c>
      <c r="R137" s="13" t="str">
        <f t="shared" ca="1" si="100"/>
        <v>Matt</v>
      </c>
      <c r="S137" s="13"/>
      <c r="T137" s="13"/>
      <c r="U137" s="13"/>
      <c r="V137" s="13"/>
    </row>
    <row r="138" spans="1:2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x14ac:dyDescent="0.25">
      <c r="B140" s="47" t="str">
        <f t="shared" ref="B140:R140" ca="1" si="101">IF(B125="","",B125)</f>
        <v>Raven</v>
      </c>
      <c r="C140" s="47" t="str">
        <f t="shared" ca="1" si="101"/>
        <v>Ramses</v>
      </c>
      <c r="D140" s="47" t="str">
        <f t="shared" ca="1" si="101"/>
        <v/>
      </c>
      <c r="E140" s="47" t="str">
        <f t="shared" ca="1" si="101"/>
        <v/>
      </c>
      <c r="F140" s="47" t="str">
        <f t="shared" ca="1" si="101"/>
        <v>Matt</v>
      </c>
      <c r="G140" s="47" t="str">
        <f t="shared" ca="1" si="101"/>
        <v>Mark</v>
      </c>
      <c r="H140" s="47" t="str">
        <f t="shared" ca="1" si="101"/>
        <v/>
      </c>
      <c r="I140" s="47" t="str">
        <f t="shared" ca="1" si="101"/>
        <v>Josh</v>
      </c>
      <c r="J140" s="47" t="str">
        <f t="shared" ca="1" si="101"/>
        <v>Jillian</v>
      </c>
      <c r="K140" s="47" t="str">
        <f t="shared" ca="1" si="101"/>
        <v>Jessica</v>
      </c>
      <c r="L140" s="47" t="str">
        <f t="shared" ca="1" si="101"/>
        <v>Jason</v>
      </c>
      <c r="M140" s="47" t="str">
        <f t="shared" ca="1" si="101"/>
        <v>Elena</v>
      </c>
      <c r="N140" s="47" t="str">
        <f t="shared" ca="1" si="101"/>
        <v/>
      </c>
      <c r="O140" s="47" t="str">
        <f t="shared" ca="1" si="101"/>
        <v>Cody</v>
      </c>
      <c r="P140" s="47" t="str">
        <f t="shared" ca="1" si="101"/>
        <v>Christmas</v>
      </c>
      <c r="Q140" s="47" t="str">
        <f t="shared" ca="1" si="101"/>
        <v>Cameron</v>
      </c>
      <c r="R140" s="47" t="str">
        <f t="shared" ca="1" si="101"/>
        <v>Alex</v>
      </c>
      <c r="S140" s="13"/>
      <c r="T140" s="13"/>
      <c r="U140" s="13"/>
      <c r="V140" s="13"/>
    </row>
    <row r="141" spans="1:22" x14ac:dyDescent="0.25">
      <c r="A141" s="13" t="str">
        <f ca="1">Game!H490</f>
        <v>Ramses</v>
      </c>
      <c r="B141" s="13">
        <f t="shared" ref="B141:R141" ca="1" si="102">IF(B140="","",INDEX(B$2:B$18,MATCH($A141,$A$2:$A$18,0)))</f>
        <v>61.058885096535313</v>
      </c>
      <c r="C141" s="13">
        <f t="shared" ca="1" si="102"/>
        <v>101</v>
      </c>
      <c r="D141" s="13" t="str">
        <f t="shared" ca="1" si="102"/>
        <v/>
      </c>
      <c r="E141" s="13" t="str">
        <f t="shared" ca="1" si="102"/>
        <v/>
      </c>
      <c r="F141" s="13">
        <f t="shared" ca="1" si="102"/>
        <v>51.299683179009882</v>
      </c>
      <c r="G141" s="13">
        <f t="shared" ca="1" si="102"/>
        <v>16.049435784814797</v>
      </c>
      <c r="H141" s="13" t="str">
        <f t="shared" ca="1" si="102"/>
        <v/>
      </c>
      <c r="I141" s="13">
        <f t="shared" ca="1" si="102"/>
        <v>74.254574277272255</v>
      </c>
      <c r="J141" s="13">
        <f t="shared" ca="1" si="102"/>
        <v>73.189409761983782</v>
      </c>
      <c r="K141" s="13">
        <f t="shared" ca="1" si="102"/>
        <v>53.184362828358395</v>
      </c>
      <c r="L141" s="13">
        <f t="shared" ca="1" si="102"/>
        <v>3.2767850456034151</v>
      </c>
      <c r="M141" s="13">
        <f t="shared" ca="1" si="102"/>
        <v>12.228426676996929</v>
      </c>
      <c r="N141" s="13" t="str">
        <f t="shared" ca="1" si="102"/>
        <v/>
      </c>
      <c r="O141" s="13">
        <f t="shared" ca="1" si="102"/>
        <v>12.024799850985175</v>
      </c>
      <c r="P141" s="13">
        <f t="shared" ca="1" si="102"/>
        <v>83.393267987413225</v>
      </c>
      <c r="Q141" s="13">
        <f t="shared" ca="1" si="102"/>
        <v>7.0998209115564732</v>
      </c>
      <c r="R141" s="13">
        <f t="shared" ca="1" si="102"/>
        <v>45.100969035321583</v>
      </c>
      <c r="S141" s="13"/>
      <c r="T141" s="13"/>
      <c r="U141" s="13"/>
      <c r="V141" s="13"/>
    </row>
    <row r="142" spans="1:2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x14ac:dyDescent="0.25">
      <c r="A143" s="13"/>
      <c r="B143" s="13" t="str">
        <f t="shared" ref="B143:R143" ca="1" si="103">B140</f>
        <v>Raven</v>
      </c>
      <c r="C143" s="13" t="str">
        <f t="shared" ca="1" si="103"/>
        <v>Ramses</v>
      </c>
      <c r="D143" s="13" t="str">
        <f t="shared" ca="1" si="103"/>
        <v/>
      </c>
      <c r="E143" s="13" t="str">
        <f t="shared" ca="1" si="103"/>
        <v/>
      </c>
      <c r="F143" s="13" t="str">
        <f t="shared" ca="1" si="103"/>
        <v>Matt</v>
      </c>
      <c r="G143" s="13" t="str">
        <f t="shared" ca="1" si="103"/>
        <v>Mark</v>
      </c>
      <c r="H143" s="13" t="str">
        <f t="shared" ca="1" si="103"/>
        <v/>
      </c>
      <c r="I143" s="13" t="str">
        <f t="shared" ca="1" si="103"/>
        <v>Josh</v>
      </c>
      <c r="J143" s="13" t="str">
        <f t="shared" ca="1" si="103"/>
        <v>Jillian</v>
      </c>
      <c r="K143" s="13" t="str">
        <f t="shared" ca="1" si="103"/>
        <v>Jessica</v>
      </c>
      <c r="L143" s="13" t="str">
        <f t="shared" ca="1" si="103"/>
        <v>Jason</v>
      </c>
      <c r="M143" s="13" t="str">
        <f t="shared" ca="1" si="103"/>
        <v>Elena</v>
      </c>
      <c r="N143" s="13" t="str">
        <f t="shared" ca="1" si="103"/>
        <v/>
      </c>
      <c r="O143" s="13" t="str">
        <f t="shared" ca="1" si="103"/>
        <v>Cody</v>
      </c>
      <c r="P143" s="13" t="str">
        <f t="shared" ca="1" si="103"/>
        <v>Christmas</v>
      </c>
      <c r="Q143" s="13" t="str">
        <f t="shared" ca="1" si="103"/>
        <v>Cameron</v>
      </c>
      <c r="R143" s="13" t="str">
        <f t="shared" ca="1" si="103"/>
        <v>Alex</v>
      </c>
      <c r="S143" s="13"/>
      <c r="T143" s="13"/>
      <c r="U143" s="13"/>
      <c r="V143" s="13"/>
    </row>
    <row r="144" spans="1:22" x14ac:dyDescent="0.25">
      <c r="A144" s="13" t="str">
        <f ca="1">Game!$F$532</f>
        <v>Raven</v>
      </c>
      <c r="B144" s="13">
        <f t="shared" ref="B144:R144" ca="1" si="104">IF(B143="","",INDEX(B$2:B$18,MATCH($A$144,$A$2:$A$18,0)))</f>
        <v>101</v>
      </c>
      <c r="C144" s="13">
        <f t="shared" ca="1" si="104"/>
        <v>61.058885096535313</v>
      </c>
      <c r="D144" s="13" t="str">
        <f t="shared" ca="1" si="104"/>
        <v/>
      </c>
      <c r="E144" s="13" t="str">
        <f t="shared" ca="1" si="104"/>
        <v/>
      </c>
      <c r="F144" s="13">
        <f t="shared" ca="1" si="104"/>
        <v>16.041606218120869</v>
      </c>
      <c r="G144" s="13">
        <f t="shared" ca="1" si="104"/>
        <v>14.404075662040396</v>
      </c>
      <c r="H144" s="13" t="str">
        <f t="shared" ca="1" si="104"/>
        <v/>
      </c>
      <c r="I144" s="13">
        <f t="shared" ca="1" si="104"/>
        <v>16.322321659313264</v>
      </c>
      <c r="J144" s="13">
        <f t="shared" ca="1" si="104"/>
        <v>25.012998050500968</v>
      </c>
      <c r="K144" s="13">
        <f t="shared" ca="1" si="104"/>
        <v>82.335943293871836</v>
      </c>
      <c r="L144" s="13">
        <f t="shared" ca="1" si="104"/>
        <v>26.449699295094824</v>
      </c>
      <c r="M144" s="13">
        <f t="shared" ca="1" si="104"/>
        <v>56.2767320805171</v>
      </c>
      <c r="N144" s="13" t="str">
        <f t="shared" ca="1" si="104"/>
        <v/>
      </c>
      <c r="O144" s="13">
        <f t="shared" ca="1" si="104"/>
        <v>73.03778757742748</v>
      </c>
      <c r="P144" s="13">
        <f t="shared" ca="1" si="104"/>
        <v>49.206725336114673</v>
      </c>
      <c r="Q144" s="13">
        <f t="shared" ca="1" si="104"/>
        <v>47.409368445659858</v>
      </c>
      <c r="R144" s="13">
        <f t="shared" ca="1" si="104"/>
        <v>27.072683409527087</v>
      </c>
      <c r="S144" s="13"/>
      <c r="T144" s="13"/>
      <c r="U144" s="13"/>
      <c r="V144" s="13"/>
    </row>
    <row r="145" spans="1:2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x14ac:dyDescent="0.25">
      <c r="A146" t="s">
        <v>113</v>
      </c>
      <c r="B146" t="str">
        <f ca="1">Game!G519</f>
        <v>Cameron</v>
      </c>
      <c r="C146" t="str">
        <f ca="1">Game!G521</f>
        <v>Cody</v>
      </c>
      <c r="D146" t="str">
        <f ca="1">IF(Game!F526=1,Game!F525,"")</f>
        <v/>
      </c>
      <c r="E146" s="13"/>
      <c r="F146" s="13"/>
      <c r="G146" s="13"/>
      <c r="H146" s="13"/>
      <c r="I146" s="13"/>
      <c r="J146" s="13"/>
      <c r="K146" s="13"/>
      <c r="L146" s="13"/>
      <c r="M146" s="13"/>
      <c r="N146" s="13"/>
      <c r="O146" s="13"/>
      <c r="P146" s="13"/>
      <c r="Q146" s="13"/>
      <c r="R146" s="13"/>
      <c r="S146" s="13"/>
      <c r="T146" s="13"/>
      <c r="U146" s="13"/>
      <c r="V146" s="13"/>
    </row>
    <row r="147" spans="1:22" x14ac:dyDescent="0.25">
      <c r="A147">
        <f>A66</f>
        <v>65</v>
      </c>
      <c r="B147" t="str">
        <f ca="1">IF(COUNTIF($B146:$D146,B$1)=0,"",B$1)</f>
        <v/>
      </c>
      <c r="C147" t="str">
        <f t="shared" ref="C147:R147" ca="1" si="105">IF(COUNTIF($B146:$D146,C$1)=0,"",C$1)</f>
        <v/>
      </c>
      <c r="D147" t="str">
        <f t="shared" ca="1" si="105"/>
        <v/>
      </c>
      <c r="E147" t="str">
        <f t="shared" ca="1" si="105"/>
        <v/>
      </c>
      <c r="F147" t="str">
        <f t="shared" ca="1" si="105"/>
        <v/>
      </c>
      <c r="G147" t="str">
        <f t="shared" ca="1" si="105"/>
        <v/>
      </c>
      <c r="H147" t="str">
        <f t="shared" ca="1" si="105"/>
        <v/>
      </c>
      <c r="I147" t="str">
        <f t="shared" ca="1" si="105"/>
        <v/>
      </c>
      <c r="J147" t="str">
        <f t="shared" ca="1" si="105"/>
        <v/>
      </c>
      <c r="K147" t="str">
        <f t="shared" ca="1" si="105"/>
        <v/>
      </c>
      <c r="L147" t="str">
        <f t="shared" ca="1" si="105"/>
        <v/>
      </c>
      <c r="M147" t="str">
        <f t="shared" ca="1" si="105"/>
        <v/>
      </c>
      <c r="N147" t="str">
        <f t="shared" ca="1" si="105"/>
        <v/>
      </c>
      <c r="O147" t="str">
        <f t="shared" ca="1" si="105"/>
        <v>Cody</v>
      </c>
      <c r="P147" t="str">
        <f t="shared" ca="1" si="105"/>
        <v/>
      </c>
      <c r="Q147" t="str">
        <f t="shared" ca="1" si="105"/>
        <v>Cameron</v>
      </c>
      <c r="R147" t="str">
        <f t="shared" ca="1" si="105"/>
        <v/>
      </c>
      <c r="S147" s="13"/>
      <c r="T147" s="13"/>
      <c r="U147" s="13"/>
      <c r="V147" s="13"/>
    </row>
    <row r="148" spans="1:22" x14ac:dyDescent="0.25">
      <c r="A148" t="str">
        <f ca="1">Game!H547</f>
        <v>Elena</v>
      </c>
      <c r="B148" t="str">
        <f t="shared" ref="B148:R148" ca="1" si="106">IF(B147="","",INDEX(B$2:B$18,MATCH($A$148,$A$2:$A$18,0)))</f>
        <v/>
      </c>
      <c r="C148" t="str">
        <f t="shared" ca="1" si="106"/>
        <v/>
      </c>
      <c r="D148" t="str">
        <f t="shared" ca="1" si="106"/>
        <v/>
      </c>
      <c r="E148" t="str">
        <f t="shared" ca="1" si="106"/>
        <v/>
      </c>
      <c r="F148" t="str">
        <f t="shared" ca="1" si="106"/>
        <v/>
      </c>
      <c r="G148" t="str">
        <f t="shared" ca="1" si="106"/>
        <v/>
      </c>
      <c r="H148" t="str">
        <f t="shared" ca="1" si="106"/>
        <v/>
      </c>
      <c r="I148" t="str">
        <f t="shared" ca="1" si="106"/>
        <v/>
      </c>
      <c r="J148" t="str">
        <f t="shared" ca="1" si="106"/>
        <v/>
      </c>
      <c r="K148" t="str">
        <f t="shared" ca="1" si="106"/>
        <v/>
      </c>
      <c r="L148" t="str">
        <f t="shared" ca="1" si="106"/>
        <v/>
      </c>
      <c r="M148" t="str">
        <f t="shared" ca="1" si="106"/>
        <v/>
      </c>
      <c r="N148" t="str">
        <f t="shared" ca="1" si="106"/>
        <v/>
      </c>
      <c r="O148">
        <f t="shared" ca="1" si="106"/>
        <v>82.363856292644456</v>
      </c>
      <c r="P148" t="str">
        <f t="shared" ca="1" si="106"/>
        <v/>
      </c>
      <c r="Q148">
        <f t="shared" ca="1" si="106"/>
        <v>12.409183957135806</v>
      </c>
      <c r="R148" t="str">
        <f t="shared" ca="1" si="106"/>
        <v/>
      </c>
      <c r="S148" s="13"/>
      <c r="T148" s="13"/>
      <c r="U148" s="13"/>
      <c r="V148" s="13"/>
    </row>
    <row r="149" spans="1:22" x14ac:dyDescent="0.25">
      <c r="A149">
        <f ca="1">LARGE(B148:R148,1)</f>
        <v>82.363856292644456</v>
      </c>
      <c r="E149" s="13"/>
      <c r="F149" s="13"/>
      <c r="G149" s="13"/>
      <c r="H149" s="13"/>
      <c r="I149" s="13"/>
      <c r="J149" s="13"/>
      <c r="K149" s="13"/>
      <c r="L149" s="13"/>
      <c r="M149" s="13"/>
      <c r="N149" s="13"/>
      <c r="O149" s="13"/>
      <c r="P149" s="13"/>
      <c r="Q149" s="13"/>
      <c r="R149" s="13"/>
      <c r="S149" s="13"/>
      <c r="T149" s="13"/>
      <c r="U149" s="13"/>
      <c r="V149" s="13"/>
    </row>
    <row r="150" spans="1:22" x14ac:dyDescent="0.25">
      <c r="A150" t="str">
        <f ca="1">IF(A149&lt;=A147-1,IF(D146="","Neither Nominee","Nobody"),INDEX(B147:R147,MATCH(A149,B148:R148,0)))</f>
        <v>Cody</v>
      </c>
      <c r="E150" s="13"/>
      <c r="F150" s="13"/>
      <c r="G150" s="13"/>
      <c r="H150" s="13"/>
      <c r="I150" s="13"/>
      <c r="J150" s="13"/>
      <c r="K150" s="13"/>
      <c r="L150" s="13"/>
      <c r="M150" s="13"/>
      <c r="N150" s="13"/>
      <c r="O150" s="13"/>
      <c r="P150" s="13"/>
      <c r="Q150" s="13"/>
      <c r="R150" s="13"/>
      <c r="S150" s="13"/>
      <c r="T150" s="13"/>
      <c r="U150" s="13"/>
      <c r="V150" s="13"/>
    </row>
    <row r="151" spans="1:2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x14ac:dyDescent="0.25">
      <c r="A152" t="s">
        <v>113</v>
      </c>
      <c r="B152" s="13" t="str">
        <f ca="1">Game!G561</f>
        <v>Cameron</v>
      </c>
      <c r="C152" s="13" t="str">
        <f ca="1">Game!H561</f>
        <v>Mark</v>
      </c>
      <c r="D152" s="13" t="str">
        <f ca="1">Game!I561</f>
        <v/>
      </c>
      <c r="E152" s="13"/>
      <c r="F152" s="13"/>
      <c r="G152" s="13"/>
      <c r="H152" s="13"/>
      <c r="I152" s="13"/>
      <c r="J152" s="13"/>
      <c r="K152" s="13"/>
      <c r="L152" s="13"/>
      <c r="M152" s="13"/>
      <c r="N152" s="13"/>
      <c r="O152" s="13"/>
      <c r="P152" s="13"/>
      <c r="Q152" s="13"/>
      <c r="R152" s="13"/>
      <c r="S152" s="13"/>
      <c r="T152" s="13"/>
      <c r="U152" s="13"/>
      <c r="V152" s="13"/>
    </row>
    <row r="153" spans="1:22" x14ac:dyDescent="0.25">
      <c r="A153">
        <f>A147</f>
        <v>65</v>
      </c>
      <c r="B153" t="str">
        <f ca="1">IF(COUNTIF($B152:$D152,B$1)=0,"",B$1)</f>
        <v/>
      </c>
      <c r="C153" t="str">
        <f t="shared" ref="C153:R153" ca="1" si="107">IF(COUNTIF($B152:$D152,C$1)=0,"",C$1)</f>
        <v/>
      </c>
      <c r="D153" t="str">
        <f t="shared" ca="1" si="107"/>
        <v/>
      </c>
      <c r="E153" t="str">
        <f t="shared" ca="1" si="107"/>
        <v/>
      </c>
      <c r="F153" t="str">
        <f t="shared" ca="1" si="107"/>
        <v/>
      </c>
      <c r="G153" t="str">
        <f t="shared" ca="1" si="107"/>
        <v>Mark</v>
      </c>
      <c r="H153" t="str">
        <f t="shared" ca="1" si="107"/>
        <v/>
      </c>
      <c r="I153" t="str">
        <f t="shared" ca="1" si="107"/>
        <v/>
      </c>
      <c r="J153" t="str">
        <f t="shared" ca="1" si="107"/>
        <v/>
      </c>
      <c r="K153" t="str">
        <f t="shared" ca="1" si="107"/>
        <v/>
      </c>
      <c r="L153" t="str">
        <f t="shared" ca="1" si="107"/>
        <v/>
      </c>
      <c r="M153" t="str">
        <f t="shared" ca="1" si="107"/>
        <v/>
      </c>
      <c r="N153" t="str">
        <f t="shared" ca="1" si="107"/>
        <v/>
      </c>
      <c r="O153" t="str">
        <f t="shared" ca="1" si="107"/>
        <v/>
      </c>
      <c r="P153" t="str">
        <f t="shared" ca="1" si="107"/>
        <v/>
      </c>
      <c r="Q153" t="str">
        <f t="shared" ca="1" si="107"/>
        <v>Cameron</v>
      </c>
      <c r="R153" t="str">
        <f t="shared" ca="1" si="107"/>
        <v/>
      </c>
      <c r="S153" s="13"/>
      <c r="T153" s="13"/>
      <c r="U153" s="13"/>
      <c r="V153" s="13"/>
    </row>
    <row r="154" spans="1:22" x14ac:dyDescent="0.25">
      <c r="A154" s="13" t="str">
        <f ca="1">Game!G509</f>
        <v>Matt</v>
      </c>
      <c r="B154" t="str">
        <f t="shared" ref="B154:O154" ca="1" si="108">IF(B153="","",INDEX(B$2:B$18,MATCH($A$154,$A$2:$A$18,0)))</f>
        <v/>
      </c>
      <c r="C154" t="str">
        <f t="shared" ca="1" si="108"/>
        <v/>
      </c>
      <c r="D154" t="str">
        <f t="shared" ca="1" si="108"/>
        <v/>
      </c>
      <c r="E154" t="str">
        <f t="shared" ca="1" si="108"/>
        <v/>
      </c>
      <c r="F154" t="str">
        <f t="shared" ca="1" si="108"/>
        <v/>
      </c>
      <c r="G154">
        <f t="shared" ca="1" si="108"/>
        <v>24.202774351677192</v>
      </c>
      <c r="H154" t="str">
        <f t="shared" ca="1" si="108"/>
        <v/>
      </c>
      <c r="I154" t="str">
        <f t="shared" ca="1" si="108"/>
        <v/>
      </c>
      <c r="J154" t="str">
        <f t="shared" ca="1" si="108"/>
        <v/>
      </c>
      <c r="K154" t="str">
        <f t="shared" ca="1" si="108"/>
        <v/>
      </c>
      <c r="L154" t="str">
        <f t="shared" ca="1" si="108"/>
        <v/>
      </c>
      <c r="M154" t="str">
        <f t="shared" ca="1" si="108"/>
        <v/>
      </c>
      <c r="N154" t="str">
        <f t="shared" ca="1" si="108"/>
        <v/>
      </c>
      <c r="O154" t="str">
        <f t="shared" ca="1" si="108"/>
        <v/>
      </c>
      <c r="P154" t="str">
        <f ca="1">IF(P153="","",INDEX(P$2:P$18,MATCH($A$154,$A$2:$A$18,0)))</f>
        <v/>
      </c>
      <c r="Q154">
        <f t="shared" ref="Q154:R154" ca="1" si="109">IF(Q153="","",INDEX(Q$2:Q$18,MATCH($A$154,$A$2:$A$18,0)))</f>
        <v>68.279130379841646</v>
      </c>
      <c r="R154" t="str">
        <f t="shared" ca="1" si="109"/>
        <v/>
      </c>
      <c r="S154" s="13"/>
      <c r="T154" s="13"/>
      <c r="U154" s="13"/>
      <c r="V154" s="13"/>
    </row>
    <row r="155" spans="1:22" x14ac:dyDescent="0.25">
      <c r="A155" s="13" t="str">
        <f ca="1">IF(G155&lt;=F155,"Halt","No")</f>
        <v>Halt</v>
      </c>
      <c r="B155" s="13">
        <f ca="1">LARGE(B154:R154,1)</f>
        <v>68.279130379841646</v>
      </c>
      <c r="C155" s="13">
        <f ca="1">LARGE(B154:R154,2)</f>
        <v>24.202774351677192</v>
      </c>
      <c r="D155" s="13" t="str">
        <f ca="1">IF(D152="","",LARGE(B154:R154,3))</f>
        <v/>
      </c>
      <c r="E155" s="13">
        <f ca="1">IF(D155="",2,3)</f>
        <v>2</v>
      </c>
      <c r="F155" s="13">
        <f ca="1">COUNTIF(B155:D155,"&gt;="&amp;A153)-0.1</f>
        <v>0.9</v>
      </c>
      <c r="G155" s="13">
        <f ca="1">RANDBETWEEN(0,E155-1)</f>
        <v>0</v>
      </c>
      <c r="H155" s="13"/>
      <c r="I155" s="13"/>
      <c r="J155" s="13"/>
      <c r="K155" s="13"/>
      <c r="L155" s="13"/>
      <c r="M155" s="13"/>
      <c r="N155" s="13"/>
      <c r="O155" s="13"/>
      <c r="P155" s="13"/>
      <c r="Q155" s="13"/>
      <c r="R155" s="13"/>
      <c r="S155" s="13"/>
      <c r="T155" s="13"/>
      <c r="U155" s="13"/>
      <c r="V155" s="13"/>
    </row>
    <row r="156" spans="1:2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x14ac:dyDescent="0.25">
      <c r="A157" s="13"/>
      <c r="B157" s="13" t="str">
        <f t="shared" ref="B157:R157" ca="1" si="110">B125</f>
        <v>Raven</v>
      </c>
      <c r="C157" s="13" t="str">
        <f t="shared" ca="1" si="110"/>
        <v>Ramses</v>
      </c>
      <c r="D157" s="13" t="str">
        <f t="shared" ca="1" si="110"/>
        <v/>
      </c>
      <c r="E157" s="13" t="str">
        <f t="shared" ca="1" si="110"/>
        <v/>
      </c>
      <c r="F157" s="13" t="str">
        <f t="shared" ca="1" si="110"/>
        <v>Matt</v>
      </c>
      <c r="G157" s="13" t="str">
        <f t="shared" ca="1" si="110"/>
        <v>Mark</v>
      </c>
      <c r="H157" s="13" t="str">
        <f t="shared" ca="1" si="110"/>
        <v/>
      </c>
      <c r="I157" s="13" t="str">
        <f t="shared" ca="1" si="110"/>
        <v>Josh</v>
      </c>
      <c r="J157" s="13" t="str">
        <f t="shared" ca="1" si="110"/>
        <v>Jillian</v>
      </c>
      <c r="K157" s="13" t="str">
        <f t="shared" ca="1" si="110"/>
        <v>Jessica</v>
      </c>
      <c r="L157" s="13" t="str">
        <f t="shared" ca="1" si="110"/>
        <v>Jason</v>
      </c>
      <c r="M157" s="13" t="str">
        <f t="shared" ca="1" si="110"/>
        <v>Elena</v>
      </c>
      <c r="N157" s="13" t="str">
        <f t="shared" ca="1" si="110"/>
        <v/>
      </c>
      <c r="O157" s="13" t="str">
        <f t="shared" ca="1" si="110"/>
        <v>Cody</v>
      </c>
      <c r="P157" s="13" t="str">
        <f t="shared" ca="1" si="110"/>
        <v>Christmas</v>
      </c>
      <c r="Q157" s="13" t="str">
        <f t="shared" ca="1" si="110"/>
        <v>Cameron</v>
      </c>
      <c r="R157" s="13" t="str">
        <f t="shared" ca="1" si="110"/>
        <v>Alex</v>
      </c>
      <c r="S157" s="13"/>
      <c r="T157" s="13"/>
      <c r="U157" s="13"/>
      <c r="V157" s="13"/>
    </row>
    <row r="158" spans="1:22" x14ac:dyDescent="0.25">
      <c r="A158" s="13" t="str">
        <f ca="1">Game!G556</f>
        <v>Cameron</v>
      </c>
      <c r="B158">
        <f t="shared" ref="B158:R158" ca="1" si="111">IF(B157="","",INDEX(B$2:B$18,MATCH($A158,$A$2:$A$18,0)))</f>
        <v>47.409368445659858</v>
      </c>
      <c r="C158">
        <f ca="1">IF(C157="","",INDEX(C$2:C$18,MATCH($A158,$A$2:$A$18,0)))</f>
        <v>7.0998209115564732</v>
      </c>
      <c r="D158" t="str">
        <f t="shared" ca="1" si="111"/>
        <v/>
      </c>
      <c r="E158" t="str">
        <f t="shared" ca="1" si="111"/>
        <v/>
      </c>
      <c r="F158">
        <f t="shared" ca="1" si="111"/>
        <v>68.279130379841646</v>
      </c>
      <c r="G158">
        <f t="shared" ca="1" si="111"/>
        <v>17.366447548995119</v>
      </c>
      <c r="H158" t="str">
        <f t="shared" ca="1" si="111"/>
        <v/>
      </c>
      <c r="I158">
        <f t="shared" ca="1" si="111"/>
        <v>41.253573787864298</v>
      </c>
      <c r="J158">
        <f t="shared" ca="1" si="111"/>
        <v>65.383887637253792</v>
      </c>
      <c r="K158">
        <f t="shared" ca="1" si="111"/>
        <v>44.433469371378045</v>
      </c>
      <c r="L158">
        <f t="shared" ca="1" si="111"/>
        <v>15.394165717913744</v>
      </c>
      <c r="M158">
        <f t="shared" ca="1" si="111"/>
        <v>12.409183957135806</v>
      </c>
      <c r="N158" t="str">
        <f t="shared" ca="1" si="111"/>
        <v/>
      </c>
      <c r="O158">
        <f t="shared" ca="1" si="111"/>
        <v>69.289969172023191</v>
      </c>
      <c r="P158">
        <f t="shared" ca="1" si="111"/>
        <v>19.010344079183941</v>
      </c>
      <c r="Q158">
        <f t="shared" ca="1" si="111"/>
        <v>101</v>
      </c>
      <c r="R158">
        <f t="shared" ca="1" si="111"/>
        <v>74.337936926232928</v>
      </c>
      <c r="S158" s="13"/>
      <c r="T158" s="13"/>
      <c r="U158" s="13"/>
      <c r="V158" s="13"/>
    </row>
    <row r="159" spans="1:22" x14ac:dyDescent="0.25">
      <c r="A159" s="13" t="str">
        <f ca="1">Game!G557</f>
        <v>Mark</v>
      </c>
      <c r="B159">
        <f t="shared" ref="B159:R159" ca="1" si="112">IF(B158="","",INDEX(B$2:B$18,MATCH($A159,$A$2:$A$18,0)))</f>
        <v>14.404075662040396</v>
      </c>
      <c r="C159">
        <f t="shared" ca="1" si="112"/>
        <v>16.049435784814797</v>
      </c>
      <c r="D159" t="str">
        <f t="shared" ca="1" si="112"/>
        <v/>
      </c>
      <c r="E159" t="str">
        <f t="shared" ca="1" si="112"/>
        <v/>
      </c>
      <c r="F159">
        <f t="shared" ca="1" si="112"/>
        <v>24.202774351677192</v>
      </c>
      <c r="G159">
        <f t="shared" ca="1" si="112"/>
        <v>101</v>
      </c>
      <c r="H159" t="str">
        <f t="shared" ca="1" si="112"/>
        <v/>
      </c>
      <c r="I159">
        <f t="shared" ca="1" si="112"/>
        <v>15.422138284256448</v>
      </c>
      <c r="J159">
        <f t="shared" ca="1" si="112"/>
        <v>43.053985180386718</v>
      </c>
      <c r="K159">
        <f t="shared" ca="1" si="112"/>
        <v>59.282946937072587</v>
      </c>
      <c r="L159">
        <f t="shared" ca="1" si="112"/>
        <v>45.249910546888039</v>
      </c>
      <c r="M159">
        <f t="shared" ca="1" si="112"/>
        <v>42.203489365903273</v>
      </c>
      <c r="N159" t="str">
        <f t="shared" ca="1" si="112"/>
        <v/>
      </c>
      <c r="O159">
        <f t="shared" ca="1" si="112"/>
        <v>24.230698123089187</v>
      </c>
      <c r="P159">
        <f t="shared" ca="1" si="112"/>
        <v>72.406235089083978</v>
      </c>
      <c r="Q159">
        <f t="shared" ca="1" si="112"/>
        <v>17.366447548995119</v>
      </c>
      <c r="R159">
        <f t="shared" ca="1" si="112"/>
        <v>76.31237136960803</v>
      </c>
      <c r="S159" s="13"/>
      <c r="T159" s="13"/>
      <c r="U159" s="13"/>
      <c r="V159" s="13"/>
    </row>
    <row r="160" spans="1:22" x14ac:dyDescent="0.25">
      <c r="A160" s="13" t="str">
        <f ca="1">Game!G558</f>
        <v/>
      </c>
      <c r="B160" t="str">
        <f ca="1">IF(A160="","",IF(B159="","",INDEX(B$2:B$18,MATCH($A160,$A$2:$A$18,0))))</f>
        <v/>
      </c>
      <c r="C160" t="str">
        <f t="shared" ref="C160:R160" ca="1" si="113">IF($A160="","",IF(C159="","",INDEX(C$2:C$18,MATCH($A160,$A$2:$A$18,0))))</f>
        <v/>
      </c>
      <c r="D160" t="str">
        <f t="shared" ca="1" si="113"/>
        <v/>
      </c>
      <c r="E160" t="str">
        <f t="shared" ca="1" si="113"/>
        <v/>
      </c>
      <c r="F160" t="str">
        <f t="shared" ca="1" si="113"/>
        <v/>
      </c>
      <c r="G160" t="str">
        <f t="shared" ca="1" si="113"/>
        <v/>
      </c>
      <c r="H160" t="str">
        <f t="shared" ca="1" si="113"/>
        <v/>
      </c>
      <c r="I160" t="str">
        <f t="shared" ca="1" si="113"/>
        <v/>
      </c>
      <c r="J160" t="str">
        <f t="shared" ca="1" si="113"/>
        <v/>
      </c>
      <c r="K160" t="str">
        <f t="shared" ca="1" si="113"/>
        <v/>
      </c>
      <c r="L160" t="str">
        <f t="shared" ca="1" si="113"/>
        <v/>
      </c>
      <c r="M160" t="str">
        <f t="shared" ca="1" si="113"/>
        <v/>
      </c>
      <c r="N160" t="str">
        <f t="shared" ca="1" si="113"/>
        <v/>
      </c>
      <c r="O160" t="str">
        <f t="shared" ca="1" si="113"/>
        <v/>
      </c>
      <c r="P160" t="str">
        <f t="shared" ca="1" si="113"/>
        <v/>
      </c>
      <c r="Q160" t="str">
        <f t="shared" ca="1" si="113"/>
        <v/>
      </c>
      <c r="R160" t="str">
        <f t="shared" ca="1" si="113"/>
        <v/>
      </c>
      <c r="S160" s="13"/>
      <c r="T160" s="13"/>
      <c r="U160" s="13"/>
      <c r="V160" s="13"/>
    </row>
    <row r="161" spans="1:22" x14ac:dyDescent="0.25">
      <c r="A161" s="13"/>
      <c r="B161" t="str">
        <f ca="1">IF(B157="","",INDEX(A158:A160,MATCH(SMALL(B158:B160,1),B158:B160,0)))</f>
        <v>Mark</v>
      </c>
      <c r="C161" t="str">
        <f t="shared" ref="C161:R161" ca="1" si="114">IF(C157="","",INDEX($A158:$A160,MATCH(SMALL(C158:C160,1),C158:C160,0)))</f>
        <v>Cameron</v>
      </c>
      <c r="D161" t="str">
        <f t="shared" ca="1" si="114"/>
        <v/>
      </c>
      <c r="E161" t="str">
        <f t="shared" ca="1" si="114"/>
        <v/>
      </c>
      <c r="F161" t="str">
        <f t="shared" ca="1" si="114"/>
        <v>Mark</v>
      </c>
      <c r="G161" t="str">
        <f t="shared" ca="1" si="114"/>
        <v>Cameron</v>
      </c>
      <c r="H161" t="str">
        <f t="shared" ca="1" si="114"/>
        <v/>
      </c>
      <c r="I161" t="str">
        <f t="shared" ca="1" si="114"/>
        <v>Mark</v>
      </c>
      <c r="J161" t="str">
        <f t="shared" ca="1" si="114"/>
        <v>Mark</v>
      </c>
      <c r="K161" t="str">
        <f t="shared" ca="1" si="114"/>
        <v>Cameron</v>
      </c>
      <c r="L161" t="str">
        <f t="shared" ca="1" si="114"/>
        <v>Cameron</v>
      </c>
      <c r="M161" t="str">
        <f t="shared" ca="1" si="114"/>
        <v>Cameron</v>
      </c>
      <c r="N161" t="str">
        <f t="shared" ca="1" si="114"/>
        <v/>
      </c>
      <c r="O161" t="str">
        <f t="shared" ca="1" si="114"/>
        <v>Mark</v>
      </c>
      <c r="P161" t="str">
        <f t="shared" ca="1" si="114"/>
        <v>Cameron</v>
      </c>
      <c r="Q161" t="str">
        <f t="shared" ca="1" si="114"/>
        <v>Mark</v>
      </c>
      <c r="R161" t="str">
        <f t="shared" ca="1" si="114"/>
        <v>Cameron</v>
      </c>
      <c r="S161" s="13"/>
      <c r="T161" s="13"/>
      <c r="U161" s="13"/>
      <c r="V161" s="13"/>
    </row>
    <row r="162" spans="1:2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x14ac:dyDescent="0.25">
      <c r="A163" s="13" t="str">
        <f ca="1">Game!L643</f>
        <v>Dominique</v>
      </c>
      <c r="B163" s="13" t="str">
        <f t="shared" ref="B163:R163" ca="1" si="115">IF(B24=$A163,"",B24)</f>
        <v>Raven</v>
      </c>
      <c r="C163" s="13" t="str">
        <f t="shared" ca="1" si="115"/>
        <v>Ramses</v>
      </c>
      <c r="D163" s="13" t="str">
        <f t="shared" ca="1" si="115"/>
        <v>Paul</v>
      </c>
      <c r="E163" s="13" t="str">
        <f t="shared" ca="1" si="115"/>
        <v>Megan</v>
      </c>
      <c r="F163" s="13" t="str">
        <f t="shared" ca="1" si="115"/>
        <v>Matt</v>
      </c>
      <c r="G163" s="13" t="str">
        <f t="shared" ca="1" si="115"/>
        <v>Mark</v>
      </c>
      <c r="H163" s="13" t="str">
        <f t="shared" ca="1" si="115"/>
        <v>Kevin</v>
      </c>
      <c r="I163" s="13" t="str">
        <f t="shared" ca="1" si="115"/>
        <v>Josh</v>
      </c>
      <c r="J163" s="13" t="str">
        <f t="shared" ca="1" si="115"/>
        <v>Jillian</v>
      </c>
      <c r="K163" s="13" t="str">
        <f t="shared" ca="1" si="115"/>
        <v>Jessica</v>
      </c>
      <c r="L163" s="13" t="str">
        <f t="shared" ca="1" si="115"/>
        <v>Jason</v>
      </c>
      <c r="M163" s="13" t="str">
        <f t="shared" ca="1" si="115"/>
        <v>Elena</v>
      </c>
      <c r="N163" s="13" t="str">
        <f t="shared" ca="1" si="115"/>
        <v/>
      </c>
      <c r="O163" s="13" t="str">
        <f t="shared" ca="1" si="115"/>
        <v>Cody</v>
      </c>
      <c r="P163" s="13" t="str">
        <f t="shared" ca="1" si="115"/>
        <v>Christmas</v>
      </c>
      <c r="Q163" s="13" t="str">
        <f t="shared" ca="1" si="115"/>
        <v>Cameron</v>
      </c>
      <c r="R163" s="13" t="str">
        <f t="shared" ca="1" si="115"/>
        <v>Alex</v>
      </c>
      <c r="S163" s="13"/>
      <c r="T163" s="13"/>
      <c r="U163" s="13"/>
      <c r="V163" s="13"/>
    </row>
    <row r="164" spans="1:22" x14ac:dyDescent="0.25">
      <c r="A164" s="13"/>
      <c r="B164" s="13" t="str">
        <f ca="1">IF(B163="","",IF(B25=$A$163,B26,B25))</f>
        <v>Jessica</v>
      </c>
      <c r="C164" s="13" t="str">
        <f ca="1">IF(C163="","",IF(C25=$A$163,C26,C25))</f>
        <v>Christmas</v>
      </c>
      <c r="D164" s="13" t="str">
        <f t="shared" ref="D164:R164" ca="1" si="116">IF(D163="","",IF(D25=$A$163,D26,D25))</f>
        <v>Megan</v>
      </c>
      <c r="E164" s="13" t="str">
        <f t="shared" ca="1" si="116"/>
        <v>Jason</v>
      </c>
      <c r="F164" s="13" t="str">
        <f t="shared" ca="1" si="116"/>
        <v>Christmas</v>
      </c>
      <c r="G164" s="13" t="str">
        <f t="shared" ca="1" si="116"/>
        <v>Alex</v>
      </c>
      <c r="H164" s="13" t="str">
        <f t="shared" ca="1" si="116"/>
        <v>Cameron</v>
      </c>
      <c r="I164" s="13" t="str">
        <f t="shared" ca="1" si="116"/>
        <v>Ramses</v>
      </c>
      <c r="J164" s="13" t="str">
        <f t="shared" ca="1" si="116"/>
        <v>Paul</v>
      </c>
      <c r="K164" s="13" t="str">
        <f t="shared" ca="1" si="116"/>
        <v>Raven</v>
      </c>
      <c r="L164" s="13" t="str">
        <f t="shared" ca="1" si="116"/>
        <v>Matt</v>
      </c>
      <c r="M164" s="13" t="str">
        <f t="shared" ca="1" si="116"/>
        <v>Cody</v>
      </c>
      <c r="N164" s="13" t="str">
        <f t="shared" ca="1" si="116"/>
        <v/>
      </c>
      <c r="O164" s="13" t="str">
        <f t="shared" ca="1" si="116"/>
        <v>Elena</v>
      </c>
      <c r="P164" s="13" t="str">
        <f t="shared" ca="1" si="116"/>
        <v>Matt</v>
      </c>
      <c r="Q164" s="13" t="str">
        <f t="shared" ca="1" si="116"/>
        <v>Kevin</v>
      </c>
      <c r="R164" s="13" t="str">
        <f t="shared" ca="1" si="116"/>
        <v>Mark</v>
      </c>
      <c r="S164" s="13"/>
      <c r="T164" s="13"/>
      <c r="U164" s="13"/>
      <c r="V164" s="13"/>
    </row>
    <row r="165" spans="1:22" x14ac:dyDescent="0.25">
      <c r="A165" s="13"/>
      <c r="B165" s="13" t="str">
        <f t="shared" ref="B165:B178" ca="1" si="117">IF(B164="","",IF(B164=B26,B27,IF(B26=$A$163,B27,B26)))</f>
        <v>Cody</v>
      </c>
      <c r="C165" s="13" t="str">
        <f t="shared" ref="C165:R165" ca="1" si="118">IF(C164="","",IF(C164=C26,C27,IF(C26=$A$163,C27,C26)))</f>
        <v>Josh</v>
      </c>
      <c r="D165" s="13" t="str">
        <f t="shared" ca="1" si="118"/>
        <v>Jillian</v>
      </c>
      <c r="E165" s="13" t="str">
        <f t="shared" ca="1" si="118"/>
        <v>Paul</v>
      </c>
      <c r="F165" s="13" t="str">
        <f t="shared" ca="1" si="118"/>
        <v>Jason</v>
      </c>
      <c r="G165" s="13" t="str">
        <f t="shared" ca="1" si="118"/>
        <v>Christmas</v>
      </c>
      <c r="H165" s="13" t="str">
        <f t="shared" ca="1" si="118"/>
        <v>Christmas</v>
      </c>
      <c r="I165" s="13" t="str">
        <f t="shared" ca="1" si="118"/>
        <v>Matt</v>
      </c>
      <c r="J165" s="13" t="str">
        <f t="shared" ca="1" si="118"/>
        <v>Ramses</v>
      </c>
      <c r="K165" s="13" t="str">
        <f t="shared" ca="1" si="118"/>
        <v>Elena</v>
      </c>
      <c r="L165" s="13" t="str">
        <f t="shared" ca="1" si="118"/>
        <v>Megan</v>
      </c>
      <c r="M165" s="13" t="str">
        <f t="shared" ca="1" si="118"/>
        <v>Alex</v>
      </c>
      <c r="N165" s="13" t="str">
        <f t="shared" ca="1" si="118"/>
        <v/>
      </c>
      <c r="O165" s="13" t="str">
        <f t="shared" ca="1" si="118"/>
        <v>Matt</v>
      </c>
      <c r="P165" s="13" t="str">
        <f t="shared" ca="1" si="118"/>
        <v>Ramses</v>
      </c>
      <c r="Q165" s="13" t="str">
        <f t="shared" ca="1" si="118"/>
        <v>Alex</v>
      </c>
      <c r="R165" s="13" t="str">
        <f t="shared" ca="1" si="118"/>
        <v>Cameron</v>
      </c>
      <c r="S165" s="13"/>
      <c r="T165" s="13"/>
      <c r="U165" s="13"/>
      <c r="V165" s="13"/>
    </row>
    <row r="166" spans="1:22" x14ac:dyDescent="0.25">
      <c r="A166" s="13"/>
      <c r="B166" s="13" t="str">
        <f t="shared" ca="1" si="117"/>
        <v>Ramses</v>
      </c>
      <c r="C166" s="13" t="str">
        <f t="shared" ref="C166:C178" ca="1" si="119">IF(C165="","",IF(C165=C27,C28,IF(C27=$A$163,C28,C27)))</f>
        <v>Paul</v>
      </c>
      <c r="D166" s="13" t="str">
        <f t="shared" ref="D166:D178" ca="1" si="120">IF(D165="","",IF(D165=D27,D28,IF(D27=$A$163,D28,D27)))</f>
        <v>Ramses</v>
      </c>
      <c r="E166" s="13" t="str">
        <f t="shared" ref="E166:E178" ca="1" si="121">IF(E165="","",IF(E165=E27,E28,IF(E27=$A$163,E28,E27)))</f>
        <v>Matt</v>
      </c>
      <c r="F166" s="13" t="str">
        <f t="shared" ref="F166:F178" ca="1" si="122">IF(F165="","",IF(F165=F27,F28,IF(F27=$A$163,F28,F27)))</f>
        <v>Cody</v>
      </c>
      <c r="G166" s="13" t="str">
        <f t="shared" ref="G166:G178" ca="1" si="123">IF(G165="","",IF(G165=G27,G28,IF(G27=$A$163,G28,G27)))</f>
        <v>Jessica</v>
      </c>
      <c r="H166" s="13" t="str">
        <f t="shared" ref="H166:H178" ca="1" si="124">IF(H165="","",IF(H165=H27,H28,IF(H27=$A$163,H28,H27)))</f>
        <v>Jillian</v>
      </c>
      <c r="I166" s="13" t="str">
        <f t="shared" ref="I166:I178" ca="1" si="125">IF(I165="","",IF(I165=I27,I28,IF(I27=$A$163,I28,I27)))</f>
        <v>Cody</v>
      </c>
      <c r="J166" s="13" t="str">
        <f t="shared" ref="J166:J178" ca="1" si="126">IF(J165="","",IF(J165=J27,J28,IF(J27=$A$163,J28,J27)))</f>
        <v>Jason</v>
      </c>
      <c r="K166" s="13" t="str">
        <f t="shared" ref="K166:K178" ca="1" si="127">IF(K165="","",IF(K165=K27,K28,IF(K27=$A$163,K28,K27)))</f>
        <v>Christmas</v>
      </c>
      <c r="L166" s="13" t="str">
        <f t="shared" ref="L166:L178" ca="1" si="128">IF(L165="","",IF(L165=L27,L28,IF(L27=$A$163,L28,L27)))</f>
        <v>Jillian</v>
      </c>
      <c r="M166" s="13" t="str">
        <f t="shared" ref="M166:M178" ca="1" si="129">IF(M165="","",IF(M165=M27,M28,IF(M27=$A$163,M28,M27)))</f>
        <v>Jessica</v>
      </c>
      <c r="N166" s="13" t="str">
        <f t="shared" ref="N166:N178" ca="1" si="130">IF(N165="","",IF(N165=N27,N28,IF(N27=$A$163,N28,N27)))</f>
        <v/>
      </c>
      <c r="O166" s="13" t="str">
        <f t="shared" ref="O166:O178" ca="1" si="131">IF(O165="","",IF(O165=O27,O28,IF(O27=$A$163,O28,O27)))</f>
        <v>Raven</v>
      </c>
      <c r="P166" s="13" t="str">
        <f t="shared" ref="P166:P178" ca="1" si="132">IF(P165="","",IF(P165=P27,P28,IF(P27=$A$163,P28,P27)))</f>
        <v>Mark</v>
      </c>
      <c r="Q166" s="13" t="str">
        <f t="shared" ref="Q166:Q178" ca="1" si="133">IF(Q165="","",IF(Q165=Q27,Q28,IF(Q27=$A$163,Q28,Q27)))</f>
        <v>Cody</v>
      </c>
      <c r="R166" s="13" t="str">
        <f t="shared" ref="R166:R178" ca="1" si="134">IF(R165="","",IF(R165=R27,R28,IF(R27=$A$163,R28,R27)))</f>
        <v>Elena</v>
      </c>
      <c r="S166" s="13"/>
      <c r="T166" s="13"/>
      <c r="U166" s="13"/>
      <c r="V166" s="13"/>
    </row>
    <row r="167" spans="1:22" x14ac:dyDescent="0.25">
      <c r="A167" s="13"/>
      <c r="B167" s="13" t="str">
        <f t="shared" ca="1" si="117"/>
        <v>Elena</v>
      </c>
      <c r="C167" s="13" t="str">
        <f t="shared" ca="1" si="119"/>
        <v>Jillian</v>
      </c>
      <c r="D167" s="13" t="str">
        <f t="shared" ca="1" si="120"/>
        <v>Matt</v>
      </c>
      <c r="E167" s="13" t="str">
        <f t="shared" ca="1" si="121"/>
        <v>Jillian</v>
      </c>
      <c r="F167" s="13" t="str">
        <f t="shared" ca="1" si="122"/>
        <v>Megan</v>
      </c>
      <c r="G167" s="13" t="str">
        <f t="shared" ca="1" si="123"/>
        <v>Kevin</v>
      </c>
      <c r="H167" s="13" t="str">
        <f t="shared" ca="1" si="124"/>
        <v>Cody</v>
      </c>
      <c r="I167" s="13" t="str">
        <f t="shared" ca="1" si="125"/>
        <v>Alex</v>
      </c>
      <c r="J167" s="13" t="str">
        <f t="shared" ca="1" si="126"/>
        <v>Megan</v>
      </c>
      <c r="K167" s="13" t="str">
        <f t="shared" ca="1" si="127"/>
        <v>Mark</v>
      </c>
      <c r="L167" s="13" t="str">
        <f t="shared" ca="1" si="128"/>
        <v>Alex</v>
      </c>
      <c r="M167" s="13" t="str">
        <f t="shared" ca="1" si="129"/>
        <v>Christmas</v>
      </c>
      <c r="N167" s="13" t="str">
        <f t="shared" ca="1" si="130"/>
        <v/>
      </c>
      <c r="O167" s="13" t="str">
        <f t="shared" ca="1" si="131"/>
        <v>Cameron</v>
      </c>
      <c r="P167" s="13" t="str">
        <f t="shared" ca="1" si="132"/>
        <v>Kevin</v>
      </c>
      <c r="Q167" s="13" t="str">
        <f t="shared" ca="1" si="133"/>
        <v>Matt</v>
      </c>
      <c r="R167" s="13" t="str">
        <f t="shared" ca="1" si="134"/>
        <v>Jason</v>
      </c>
      <c r="S167" s="13"/>
      <c r="T167" s="13"/>
      <c r="U167" s="13"/>
      <c r="V167" s="13"/>
    </row>
    <row r="168" spans="1:22" x14ac:dyDescent="0.25">
      <c r="A168" s="13"/>
      <c r="B168" s="13" t="str">
        <f t="shared" ca="1" si="117"/>
        <v>Christmas</v>
      </c>
      <c r="C168" s="13" t="str">
        <f t="shared" ca="1" si="119"/>
        <v>Raven</v>
      </c>
      <c r="D168" s="13" t="str">
        <f t="shared" ca="1" si="120"/>
        <v>Christmas</v>
      </c>
      <c r="E168" s="13" t="str">
        <f t="shared" ca="1" si="121"/>
        <v>Cameron</v>
      </c>
      <c r="F168" s="13" t="str">
        <f t="shared" ca="1" si="122"/>
        <v>Cameron</v>
      </c>
      <c r="G168" s="13" t="str">
        <f t="shared" ca="1" si="123"/>
        <v>Jason</v>
      </c>
      <c r="H168" s="13" t="str">
        <f t="shared" ca="1" si="124"/>
        <v>Ramses</v>
      </c>
      <c r="I168" s="13" t="str">
        <f t="shared" ca="1" si="125"/>
        <v>Jillian</v>
      </c>
      <c r="J168" s="13" t="str">
        <f t="shared" ca="1" si="126"/>
        <v>Cameron</v>
      </c>
      <c r="K168" s="13" t="str">
        <f t="shared" ca="1" si="127"/>
        <v>Ramses</v>
      </c>
      <c r="L168" s="13" t="str">
        <f t="shared" ca="1" si="128"/>
        <v>Jessica</v>
      </c>
      <c r="M168" s="13" t="str">
        <f t="shared" ca="1" si="129"/>
        <v>Jillian</v>
      </c>
      <c r="N168" s="13" t="str">
        <f t="shared" ca="1" si="130"/>
        <v/>
      </c>
      <c r="O168" s="13" t="str">
        <f t="shared" ca="1" si="131"/>
        <v>Josh</v>
      </c>
      <c r="P168" s="13" t="str">
        <f t="shared" ca="1" si="132"/>
        <v>Jessica</v>
      </c>
      <c r="Q168" s="13" t="str">
        <f t="shared" ca="1" si="133"/>
        <v>Jillian</v>
      </c>
      <c r="R168" s="13" t="str">
        <f t="shared" ca="1" si="134"/>
        <v>Jillian</v>
      </c>
      <c r="S168" s="13"/>
      <c r="T168" s="13"/>
      <c r="U168" s="13"/>
      <c r="V168" s="13"/>
    </row>
    <row r="169" spans="1:22" x14ac:dyDescent="0.25">
      <c r="A169" s="13"/>
      <c r="B169" s="13" t="str">
        <f t="shared" ca="1" si="117"/>
        <v>Cameron</v>
      </c>
      <c r="C169" s="13" t="str">
        <f t="shared" ca="1" si="119"/>
        <v>Megan</v>
      </c>
      <c r="D169" s="13" t="str">
        <f t="shared" ca="1" si="120"/>
        <v>Kevin</v>
      </c>
      <c r="E169" s="13" t="str">
        <f t="shared" ca="1" si="121"/>
        <v>Ramses</v>
      </c>
      <c r="F169" s="13" t="str">
        <f t="shared" ca="1" si="122"/>
        <v>Josh</v>
      </c>
      <c r="G169" s="13" t="str">
        <f t="shared" ca="1" si="123"/>
        <v>Jillian</v>
      </c>
      <c r="H169" s="13" t="str">
        <f t="shared" ca="1" si="124"/>
        <v>Paul</v>
      </c>
      <c r="I169" s="13" t="str">
        <f t="shared" ca="1" si="125"/>
        <v>Cameron</v>
      </c>
      <c r="J169" s="13" t="str">
        <f t="shared" ca="1" si="126"/>
        <v>Elena</v>
      </c>
      <c r="K169" s="13" t="str">
        <f t="shared" ca="1" si="127"/>
        <v>Jason</v>
      </c>
      <c r="L169" s="13" t="str">
        <f t="shared" ca="1" si="128"/>
        <v>Mark</v>
      </c>
      <c r="M169" s="13" t="str">
        <f t="shared" ca="1" si="129"/>
        <v>Raven</v>
      </c>
      <c r="N169" s="13" t="str">
        <f t="shared" ca="1" si="130"/>
        <v/>
      </c>
      <c r="O169" s="13" t="str">
        <f t="shared" ca="1" si="131"/>
        <v>Jillian</v>
      </c>
      <c r="P169" s="13" t="str">
        <f t="shared" ca="1" si="132"/>
        <v>Elena</v>
      </c>
      <c r="Q169" s="13" t="str">
        <f t="shared" ca="1" si="133"/>
        <v>Megan</v>
      </c>
      <c r="R169" s="13" t="str">
        <f t="shared" ca="1" si="134"/>
        <v>Megan</v>
      </c>
      <c r="S169" s="13"/>
      <c r="T169" s="13"/>
      <c r="U169" s="13"/>
      <c r="V169" s="13"/>
    </row>
    <row r="170" spans="1:22" x14ac:dyDescent="0.25">
      <c r="A170" s="13"/>
      <c r="B170" s="13" t="str">
        <f t="shared" ca="1" si="117"/>
        <v>Alex</v>
      </c>
      <c r="C170" s="13" t="str">
        <f t="shared" ca="1" si="119"/>
        <v>Jessica</v>
      </c>
      <c r="D170" s="13" t="str">
        <f t="shared" ca="1" si="120"/>
        <v>Jessica</v>
      </c>
      <c r="E170" s="13" t="str">
        <f t="shared" ca="1" si="121"/>
        <v>Alex</v>
      </c>
      <c r="F170" s="13" t="str">
        <f t="shared" ca="1" si="122"/>
        <v>Paul</v>
      </c>
      <c r="G170" s="13" t="str">
        <f t="shared" ca="1" si="123"/>
        <v>Elena</v>
      </c>
      <c r="H170" s="13" t="str">
        <f t="shared" ca="1" si="124"/>
        <v>Mark</v>
      </c>
      <c r="I170" s="13" t="str">
        <f t="shared" ca="1" si="125"/>
        <v>Megan</v>
      </c>
      <c r="J170" s="13" t="str">
        <f t="shared" ca="1" si="126"/>
        <v>Alex</v>
      </c>
      <c r="K170" s="13" t="str">
        <f t="shared" ca="1" si="127"/>
        <v>Paul</v>
      </c>
      <c r="L170" s="13" t="str">
        <f t="shared" ca="1" si="128"/>
        <v>Kevin</v>
      </c>
      <c r="M170" s="13" t="str">
        <f t="shared" ca="1" si="129"/>
        <v>Kevin</v>
      </c>
      <c r="N170" s="13" t="str">
        <f t="shared" ca="1" si="130"/>
        <v/>
      </c>
      <c r="O170" s="13" t="str">
        <f t="shared" ca="1" si="131"/>
        <v>Kevin</v>
      </c>
      <c r="P170" s="13" t="str">
        <f t="shared" ca="1" si="132"/>
        <v>Paul</v>
      </c>
      <c r="Q170" s="13" t="str">
        <f t="shared" ca="1" si="133"/>
        <v>Raven</v>
      </c>
      <c r="R170" s="13" t="str">
        <f t="shared" ca="1" si="134"/>
        <v>Ramses</v>
      </c>
      <c r="S170" s="13"/>
      <c r="T170" s="13"/>
      <c r="U170" s="13"/>
      <c r="V170" s="13"/>
    </row>
    <row r="171" spans="1:22" x14ac:dyDescent="0.25">
      <c r="A171" s="13"/>
      <c r="B171" s="13" t="str">
        <f t="shared" ca="1" si="117"/>
        <v>Jason</v>
      </c>
      <c r="C171" s="13" t="str">
        <f t="shared" ca="1" si="119"/>
        <v>Matt</v>
      </c>
      <c r="D171" s="13" t="str">
        <f t="shared" ca="1" si="120"/>
        <v>Jason</v>
      </c>
      <c r="E171" s="13" t="str">
        <f t="shared" ca="1" si="121"/>
        <v>Josh</v>
      </c>
      <c r="F171" s="13" t="str">
        <f t="shared" ca="1" si="122"/>
        <v>Ramses</v>
      </c>
      <c r="G171" s="13" t="str">
        <f t="shared" ca="1" si="123"/>
        <v>Paul</v>
      </c>
      <c r="H171" s="13" t="str">
        <f t="shared" ca="1" si="124"/>
        <v>Matt</v>
      </c>
      <c r="I171" s="13" t="str">
        <f t="shared" ca="1" si="125"/>
        <v>Jason</v>
      </c>
      <c r="J171" s="13" t="str">
        <f t="shared" ca="1" si="126"/>
        <v>Kevin</v>
      </c>
      <c r="K171" s="13" t="str">
        <f t="shared" ca="1" si="127"/>
        <v>Cody</v>
      </c>
      <c r="L171" s="13" t="str">
        <f t="shared" ca="1" si="128"/>
        <v>Paul</v>
      </c>
      <c r="M171" s="13" t="str">
        <f t="shared" ca="1" si="129"/>
        <v>Mark</v>
      </c>
      <c r="N171" s="13" t="str">
        <f t="shared" ca="1" si="130"/>
        <v/>
      </c>
      <c r="O171" s="13" t="str">
        <f t="shared" ca="1" si="131"/>
        <v>Jessica</v>
      </c>
      <c r="P171" s="13" t="str">
        <f t="shared" ca="1" si="132"/>
        <v>Raven</v>
      </c>
      <c r="Q171" s="13" t="str">
        <f t="shared" ca="1" si="133"/>
        <v>Jessica</v>
      </c>
      <c r="R171" s="13" t="str">
        <f t="shared" ca="1" si="134"/>
        <v>Josh</v>
      </c>
      <c r="S171" s="13"/>
      <c r="T171" s="13"/>
      <c r="U171" s="13"/>
      <c r="V171" s="13"/>
    </row>
    <row r="172" spans="1:22" x14ac:dyDescent="0.25">
      <c r="A172" s="13"/>
      <c r="B172" s="13" t="str">
        <f t="shared" ca="1" si="117"/>
        <v>Jillian</v>
      </c>
      <c r="C172" s="13" t="str">
        <f t="shared" ca="1" si="119"/>
        <v>Kevin</v>
      </c>
      <c r="D172" s="13" t="str">
        <f t="shared" ca="1" si="120"/>
        <v>Elena</v>
      </c>
      <c r="E172" s="13" t="str">
        <f t="shared" ca="1" si="121"/>
        <v>Jessica</v>
      </c>
      <c r="F172" s="13" t="str">
        <f t="shared" ca="1" si="122"/>
        <v>Kevin</v>
      </c>
      <c r="G172" s="13" t="str">
        <f t="shared" ca="1" si="123"/>
        <v>Cody</v>
      </c>
      <c r="H172" s="13" t="str">
        <f t="shared" ca="1" si="124"/>
        <v>Elena</v>
      </c>
      <c r="I172" s="13" t="str">
        <f t="shared" ca="1" si="125"/>
        <v>Kevin</v>
      </c>
      <c r="J172" s="13" t="str">
        <f t="shared" ca="1" si="126"/>
        <v>Cody</v>
      </c>
      <c r="K172" s="13" t="str">
        <f t="shared" ca="1" si="127"/>
        <v>Cameron</v>
      </c>
      <c r="L172" s="13" t="str">
        <f t="shared" ca="1" si="128"/>
        <v>Cody</v>
      </c>
      <c r="M172" s="13" t="str">
        <f t="shared" ca="1" si="129"/>
        <v>Paul</v>
      </c>
      <c r="N172" s="13" t="str">
        <f t="shared" ca="1" si="130"/>
        <v/>
      </c>
      <c r="O172" s="13" t="str">
        <f t="shared" ca="1" si="131"/>
        <v>Jason</v>
      </c>
      <c r="P172" s="13" t="str">
        <f t="shared" ca="1" si="132"/>
        <v>Jillian</v>
      </c>
      <c r="Q172" s="13" t="str">
        <f t="shared" ca="1" si="133"/>
        <v>Josh</v>
      </c>
      <c r="R172" s="13" t="str">
        <f t="shared" ca="1" si="134"/>
        <v>Christmas</v>
      </c>
      <c r="S172" s="13"/>
      <c r="T172" s="13"/>
      <c r="U172" s="13"/>
      <c r="V172" s="13"/>
    </row>
    <row r="173" spans="1:22" x14ac:dyDescent="0.25">
      <c r="A173" s="13"/>
      <c r="B173" s="13" t="str">
        <f t="shared" ca="1" si="117"/>
        <v>Josh</v>
      </c>
      <c r="C173" s="13" t="str">
        <f t="shared" ca="1" si="119"/>
        <v>Alex</v>
      </c>
      <c r="D173" s="13" t="str">
        <f t="shared" ca="1" si="120"/>
        <v>Mark</v>
      </c>
      <c r="E173" s="13" t="str">
        <f t="shared" ca="1" si="121"/>
        <v>Elena</v>
      </c>
      <c r="F173" s="13" t="str">
        <f t="shared" ca="1" si="122"/>
        <v>Jessica</v>
      </c>
      <c r="G173" s="13" t="str">
        <f t="shared" ca="1" si="123"/>
        <v>Matt</v>
      </c>
      <c r="H173" s="13" t="str">
        <f t="shared" ca="1" si="124"/>
        <v>Jason</v>
      </c>
      <c r="I173" s="13" t="str">
        <f t="shared" ca="1" si="125"/>
        <v>Jessica</v>
      </c>
      <c r="J173" s="13" t="str">
        <f t="shared" ca="1" si="126"/>
        <v>Christmas</v>
      </c>
      <c r="K173" s="13" t="str">
        <f t="shared" ca="1" si="127"/>
        <v>Matt</v>
      </c>
      <c r="L173" s="13" t="str">
        <f t="shared" ca="1" si="128"/>
        <v>Josh</v>
      </c>
      <c r="M173" s="13" t="str">
        <f t="shared" ca="1" si="129"/>
        <v>Jason</v>
      </c>
      <c r="N173" s="13" t="str">
        <f t="shared" ca="1" si="130"/>
        <v/>
      </c>
      <c r="O173" s="13" t="str">
        <f t="shared" ca="1" si="131"/>
        <v>Paul</v>
      </c>
      <c r="P173" s="13" t="str">
        <f t="shared" ca="1" si="132"/>
        <v>Alex</v>
      </c>
      <c r="Q173" s="13" t="str">
        <f t="shared" ca="1" si="133"/>
        <v>Christmas</v>
      </c>
      <c r="R173" s="13" t="str">
        <f t="shared" ca="1" si="134"/>
        <v>Jessica</v>
      </c>
      <c r="S173" s="13"/>
      <c r="T173" s="13"/>
      <c r="U173" s="13"/>
      <c r="V173" s="13"/>
    </row>
    <row r="174" spans="1:22" x14ac:dyDescent="0.25">
      <c r="A174" s="13"/>
      <c r="B174" s="13" t="str">
        <f t="shared" ca="1" si="117"/>
        <v>Matt</v>
      </c>
      <c r="C174" s="13" t="str">
        <f t="shared" ca="1" si="119"/>
        <v>Mark</v>
      </c>
      <c r="D174" s="13" t="str">
        <f t="shared" ca="1" si="120"/>
        <v>Cody</v>
      </c>
      <c r="E174" s="13" t="str">
        <f t="shared" ca="1" si="121"/>
        <v>Cody</v>
      </c>
      <c r="F174" s="13" t="str">
        <f t="shared" ca="1" si="122"/>
        <v>Mark</v>
      </c>
      <c r="G174" s="13" t="str">
        <f t="shared" ca="1" si="123"/>
        <v>Cameron</v>
      </c>
      <c r="H174" s="13" t="str">
        <f t="shared" ca="1" si="124"/>
        <v>Josh</v>
      </c>
      <c r="I174" s="13" t="str">
        <f t="shared" ca="1" si="125"/>
        <v>Raven</v>
      </c>
      <c r="J174" s="13" t="str">
        <f t="shared" ca="1" si="126"/>
        <v>Josh</v>
      </c>
      <c r="K174" s="13" t="str">
        <f t="shared" ca="1" si="127"/>
        <v>Alex</v>
      </c>
      <c r="L174" s="13" t="str">
        <f t="shared" ca="1" si="128"/>
        <v>Elena</v>
      </c>
      <c r="M174" s="13" t="str">
        <f t="shared" ca="1" si="129"/>
        <v>Megan</v>
      </c>
      <c r="N174" s="13" t="str">
        <f t="shared" ca="1" si="130"/>
        <v/>
      </c>
      <c r="O174" s="13" t="str">
        <f t="shared" ca="1" si="131"/>
        <v>Mark</v>
      </c>
      <c r="P174" s="13" t="str">
        <f t="shared" ca="1" si="132"/>
        <v>Jason</v>
      </c>
      <c r="Q174" s="13" t="str">
        <f t="shared" ca="1" si="133"/>
        <v>Mark</v>
      </c>
      <c r="R174" s="13" t="str">
        <f t="shared" ca="1" si="134"/>
        <v>Raven</v>
      </c>
      <c r="S174" s="13"/>
      <c r="T174" s="13"/>
      <c r="U174" s="13"/>
      <c r="V174" s="13"/>
    </row>
    <row r="175" spans="1:22" x14ac:dyDescent="0.25">
      <c r="A175" s="13"/>
      <c r="B175" s="13" t="str">
        <f t="shared" ca="1" si="117"/>
        <v>Mark</v>
      </c>
      <c r="C175" s="13" t="str">
        <f t="shared" ca="1" si="119"/>
        <v>Elena</v>
      </c>
      <c r="D175" s="13" t="str">
        <f t="shared" ca="1" si="120"/>
        <v>Josh</v>
      </c>
      <c r="E175" s="13" t="str">
        <f t="shared" ca="1" si="121"/>
        <v>Raven</v>
      </c>
      <c r="F175" s="13" t="str">
        <f t="shared" ca="1" si="122"/>
        <v>Jillian</v>
      </c>
      <c r="G175" s="13" t="str">
        <f t="shared" ca="1" si="123"/>
        <v>Ramses</v>
      </c>
      <c r="H175" s="13" t="str">
        <f t="shared" ca="1" si="124"/>
        <v>Jessica</v>
      </c>
      <c r="I175" s="13" t="str">
        <f t="shared" ca="1" si="125"/>
        <v>Mark</v>
      </c>
      <c r="J175" s="13" t="str">
        <f t="shared" ca="1" si="126"/>
        <v>Mark</v>
      </c>
      <c r="K175" s="13" t="str">
        <f t="shared" ca="1" si="127"/>
        <v>Megan</v>
      </c>
      <c r="L175" s="13" t="str">
        <f t="shared" ca="1" si="128"/>
        <v>Raven</v>
      </c>
      <c r="M175" s="13" t="str">
        <f t="shared" ca="1" si="129"/>
        <v>Cameron</v>
      </c>
      <c r="N175" s="13" t="str">
        <f t="shared" ca="1" si="130"/>
        <v/>
      </c>
      <c r="O175" s="13" t="str">
        <f t="shared" ca="1" si="131"/>
        <v>Alex</v>
      </c>
      <c r="P175" s="13" t="str">
        <f t="shared" ca="1" si="132"/>
        <v>Cameron</v>
      </c>
      <c r="Q175" s="13" t="str">
        <f t="shared" ca="1" si="133"/>
        <v>Jason</v>
      </c>
      <c r="R175" s="13" t="str">
        <f t="shared" ca="1" si="134"/>
        <v>Cody</v>
      </c>
      <c r="S175" s="13"/>
      <c r="T175" s="13"/>
      <c r="U175" s="13"/>
      <c r="V175" s="13"/>
    </row>
    <row r="176" spans="1:22" x14ac:dyDescent="0.25">
      <c r="A176" s="13"/>
      <c r="B176" s="13" t="str">
        <f t="shared" ca="1" si="117"/>
        <v>Megan</v>
      </c>
      <c r="C176" s="13" t="str">
        <f t="shared" ca="1" si="119"/>
        <v>Cody</v>
      </c>
      <c r="D176" s="13" t="str">
        <f t="shared" ca="1" si="120"/>
        <v>Cameron</v>
      </c>
      <c r="E176" s="13" t="str">
        <f t="shared" ca="1" si="121"/>
        <v>Mark</v>
      </c>
      <c r="F176" s="13" t="str">
        <f t="shared" ca="1" si="122"/>
        <v>Raven</v>
      </c>
      <c r="G176" s="13" t="str">
        <f t="shared" ca="1" si="123"/>
        <v>Josh</v>
      </c>
      <c r="H176" s="13" t="str">
        <f t="shared" ca="1" si="124"/>
        <v>Raven</v>
      </c>
      <c r="I176" s="13" t="str">
        <f t="shared" ca="1" si="125"/>
        <v>Christmas</v>
      </c>
      <c r="J176" s="13" t="str">
        <f t="shared" ca="1" si="126"/>
        <v>Raven</v>
      </c>
      <c r="K176" s="13" t="str">
        <f t="shared" ca="1" si="127"/>
        <v>Josh</v>
      </c>
      <c r="L176" s="13" t="str">
        <f t="shared" ca="1" si="128"/>
        <v>Christmas</v>
      </c>
      <c r="M176" s="13" t="str">
        <f t="shared" ca="1" si="129"/>
        <v>Ramses</v>
      </c>
      <c r="N176" s="13" t="str">
        <f t="shared" ca="1" si="130"/>
        <v/>
      </c>
      <c r="O176" s="13" t="str">
        <f t="shared" ca="1" si="131"/>
        <v>Megan</v>
      </c>
      <c r="P176" s="13" t="str">
        <f t="shared" ca="1" si="132"/>
        <v>Josh</v>
      </c>
      <c r="Q176" s="13" t="str">
        <f t="shared" ca="1" si="133"/>
        <v>Elena</v>
      </c>
      <c r="R176" s="13" t="str">
        <f t="shared" ca="1" si="134"/>
        <v>Paul</v>
      </c>
      <c r="S176" s="13"/>
      <c r="T176" s="13"/>
      <c r="U176" s="13"/>
      <c r="V176" s="13"/>
    </row>
    <row r="177" spans="1:22" x14ac:dyDescent="0.25">
      <c r="A177" s="13"/>
      <c r="B177" s="13" t="str">
        <f t="shared" ca="1" si="117"/>
        <v>Kevin</v>
      </c>
      <c r="C177" s="13" t="str">
        <f t="shared" ca="1" si="119"/>
        <v>Cameron</v>
      </c>
      <c r="D177" s="13" t="str">
        <f t="shared" ca="1" si="120"/>
        <v>Alex</v>
      </c>
      <c r="E177" s="13" t="str">
        <f t="shared" ca="1" si="121"/>
        <v>Christmas</v>
      </c>
      <c r="F177" s="13" t="str">
        <f t="shared" ca="1" si="122"/>
        <v>Elena</v>
      </c>
      <c r="G177" s="13" t="str">
        <f t="shared" ca="1" si="123"/>
        <v>Raven</v>
      </c>
      <c r="H177" s="13" t="str">
        <f t="shared" ca="1" si="124"/>
        <v>Alex</v>
      </c>
      <c r="I177" s="13" t="str">
        <f t="shared" ca="1" si="125"/>
        <v>Paul</v>
      </c>
      <c r="J177" s="13" t="str">
        <f t="shared" ca="1" si="126"/>
        <v>Jessica</v>
      </c>
      <c r="K177" s="13" t="str">
        <f t="shared" ca="1" si="127"/>
        <v>Jillian</v>
      </c>
      <c r="L177" s="13" t="str">
        <f t="shared" ca="1" si="128"/>
        <v>Cameron</v>
      </c>
      <c r="M177" s="13" t="str">
        <f t="shared" ca="1" si="129"/>
        <v>Matt</v>
      </c>
      <c r="N177" s="13" t="str">
        <f t="shared" ca="1" si="130"/>
        <v/>
      </c>
      <c r="O177" s="13" t="str">
        <f t="shared" ca="1" si="131"/>
        <v>Ramses</v>
      </c>
      <c r="P177" s="13" t="str">
        <f t="shared" ca="1" si="132"/>
        <v>Megan</v>
      </c>
      <c r="Q177" s="13" t="str">
        <f t="shared" ca="1" si="133"/>
        <v>Paul</v>
      </c>
      <c r="R177" s="13" t="str">
        <f t="shared" ca="1" si="134"/>
        <v>Kevin</v>
      </c>
      <c r="S177" s="13"/>
      <c r="T177" s="13"/>
      <c r="U177" s="13"/>
      <c r="V177" s="13"/>
    </row>
    <row r="178" spans="1:22" x14ac:dyDescent="0.25">
      <c r="A178" s="13"/>
      <c r="B178" s="13" t="str">
        <f t="shared" ca="1" si="117"/>
        <v>Paul</v>
      </c>
      <c r="C178" s="13" t="str">
        <f t="shared" ca="1" si="119"/>
        <v>Jason</v>
      </c>
      <c r="D178" s="13" t="str">
        <f t="shared" ca="1" si="120"/>
        <v>Raven</v>
      </c>
      <c r="E178" s="13" t="str">
        <f t="shared" ca="1" si="121"/>
        <v>Kevin</v>
      </c>
      <c r="F178" s="13" t="str">
        <f t="shared" ca="1" si="122"/>
        <v>Alex</v>
      </c>
      <c r="G178" s="13" t="str">
        <f t="shared" ca="1" si="123"/>
        <v>Megan</v>
      </c>
      <c r="H178" s="13" t="str">
        <f t="shared" ca="1" si="124"/>
        <v>Megan</v>
      </c>
      <c r="I178" s="13" t="str">
        <f t="shared" ca="1" si="125"/>
        <v>Elena</v>
      </c>
      <c r="J178" s="13" t="str">
        <f t="shared" ca="1" si="126"/>
        <v>Matt</v>
      </c>
      <c r="K178" s="13" t="str">
        <f t="shared" ca="1" si="127"/>
        <v>Kevin</v>
      </c>
      <c r="L178" s="13" t="str">
        <f t="shared" ca="1" si="128"/>
        <v>Ramses</v>
      </c>
      <c r="M178" s="13" t="str">
        <f t="shared" ca="1" si="129"/>
        <v>Josh</v>
      </c>
      <c r="N178" s="13" t="str">
        <f t="shared" ca="1" si="130"/>
        <v/>
      </c>
      <c r="O178" s="13" t="str">
        <f t="shared" ca="1" si="131"/>
        <v>Christmas</v>
      </c>
      <c r="P178" s="13" t="str">
        <f t="shared" ca="1" si="132"/>
        <v>Cody</v>
      </c>
      <c r="Q178" s="13" t="str">
        <f t="shared" ca="1" si="133"/>
        <v>Ramses</v>
      </c>
      <c r="R178" s="13" t="str">
        <f t="shared" ca="1" si="134"/>
        <v>Matt</v>
      </c>
      <c r="S178" s="13"/>
      <c r="T178" s="13"/>
      <c r="U178" s="13"/>
      <c r="V178" s="13"/>
    </row>
    <row r="179" spans="1:2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x14ac:dyDescent="0.25">
      <c r="A180" s="13" t="str">
        <f ca="1">Game!K643</f>
        <v>Kevin</v>
      </c>
      <c r="B180" s="13" t="str">
        <f ca="1">IF(B163=$A180,"",B163)</f>
        <v>Raven</v>
      </c>
      <c r="C180" s="13" t="str">
        <f t="shared" ref="C180:R180" ca="1" si="135">IF(C163=$A180,"",C163)</f>
        <v>Ramses</v>
      </c>
      <c r="D180" s="13" t="str">
        <f t="shared" ca="1" si="135"/>
        <v>Paul</v>
      </c>
      <c r="E180" s="13" t="str">
        <f t="shared" ca="1" si="135"/>
        <v>Megan</v>
      </c>
      <c r="F180" s="13" t="str">
        <f t="shared" ca="1" si="135"/>
        <v>Matt</v>
      </c>
      <c r="G180" s="13" t="str">
        <f t="shared" ca="1" si="135"/>
        <v>Mark</v>
      </c>
      <c r="H180" s="13" t="str">
        <f t="shared" ca="1" si="135"/>
        <v/>
      </c>
      <c r="I180" s="13" t="str">
        <f t="shared" ca="1" si="135"/>
        <v>Josh</v>
      </c>
      <c r="J180" s="13" t="str">
        <f t="shared" ca="1" si="135"/>
        <v>Jillian</v>
      </c>
      <c r="K180" s="13" t="str">
        <f t="shared" ca="1" si="135"/>
        <v>Jessica</v>
      </c>
      <c r="L180" s="13" t="str">
        <f t="shared" ca="1" si="135"/>
        <v>Jason</v>
      </c>
      <c r="M180" s="13" t="str">
        <f t="shared" ca="1" si="135"/>
        <v>Elena</v>
      </c>
      <c r="N180" s="13" t="str">
        <f t="shared" ca="1" si="135"/>
        <v/>
      </c>
      <c r="O180" s="13" t="str">
        <f t="shared" ca="1" si="135"/>
        <v>Cody</v>
      </c>
      <c r="P180" s="13" t="str">
        <f t="shared" ca="1" si="135"/>
        <v>Christmas</v>
      </c>
      <c r="Q180" s="13" t="str">
        <f t="shared" ca="1" si="135"/>
        <v>Cameron</v>
      </c>
      <c r="R180" s="13" t="str">
        <f t="shared" ca="1" si="135"/>
        <v>Alex</v>
      </c>
      <c r="S180" s="13"/>
      <c r="T180" s="13"/>
      <c r="U180" s="13"/>
      <c r="V180" s="13"/>
    </row>
    <row r="181" spans="1:22" x14ac:dyDescent="0.25">
      <c r="A181" s="13"/>
      <c r="B181" s="13" t="str">
        <f ca="1">IF(B180="","",IF(B164=$A$180,B165,B164))</f>
        <v>Jessica</v>
      </c>
      <c r="C181" s="13" t="str">
        <f t="shared" ref="C181:R181" ca="1" si="136">IF(C180="","",IF(C164=$A$180,C165,C164))</f>
        <v>Christmas</v>
      </c>
      <c r="D181" s="13" t="str">
        <f t="shared" ca="1" si="136"/>
        <v>Megan</v>
      </c>
      <c r="E181" s="13" t="str">
        <f t="shared" ca="1" si="136"/>
        <v>Jason</v>
      </c>
      <c r="F181" s="13" t="str">
        <f t="shared" ca="1" si="136"/>
        <v>Christmas</v>
      </c>
      <c r="G181" s="13" t="str">
        <f t="shared" ca="1" si="136"/>
        <v>Alex</v>
      </c>
      <c r="H181" s="13" t="str">
        <f t="shared" ca="1" si="136"/>
        <v/>
      </c>
      <c r="I181" s="13" t="str">
        <f t="shared" ca="1" si="136"/>
        <v>Ramses</v>
      </c>
      <c r="J181" s="13" t="str">
        <f t="shared" ca="1" si="136"/>
        <v>Paul</v>
      </c>
      <c r="K181" s="13" t="str">
        <f t="shared" ca="1" si="136"/>
        <v>Raven</v>
      </c>
      <c r="L181" s="13" t="str">
        <f t="shared" ca="1" si="136"/>
        <v>Matt</v>
      </c>
      <c r="M181" s="13" t="str">
        <f t="shared" ca="1" si="136"/>
        <v>Cody</v>
      </c>
      <c r="N181" s="13" t="str">
        <f t="shared" ca="1" si="136"/>
        <v/>
      </c>
      <c r="O181" s="13" t="str">
        <f t="shared" ca="1" si="136"/>
        <v>Elena</v>
      </c>
      <c r="P181" s="13" t="str">
        <f t="shared" ca="1" si="136"/>
        <v>Matt</v>
      </c>
      <c r="Q181" s="13" t="str">
        <f t="shared" ca="1" si="136"/>
        <v>Alex</v>
      </c>
      <c r="R181" s="13" t="str">
        <f t="shared" ca="1" si="136"/>
        <v>Mark</v>
      </c>
      <c r="S181" s="13"/>
      <c r="T181" s="13"/>
      <c r="U181" s="13"/>
      <c r="V181" s="13"/>
    </row>
    <row r="182" spans="1:22" x14ac:dyDescent="0.25">
      <c r="A182" s="13"/>
      <c r="B182" s="13" t="str">
        <f t="shared" ref="B182:B194" ca="1" si="137">IF(B181="","",IF(B181=B165,B166,IF(B165=$A$180,B166,B165)))</f>
        <v>Cody</v>
      </c>
      <c r="C182" s="13" t="str">
        <f t="shared" ref="C182:R182" ca="1" si="138">IF(C181="","",IF(C181=C165,C166,IF(C165=$A$180,C166,C165)))</f>
        <v>Josh</v>
      </c>
      <c r="D182" s="13" t="str">
        <f t="shared" ca="1" si="138"/>
        <v>Jillian</v>
      </c>
      <c r="E182" s="13" t="str">
        <f t="shared" ca="1" si="138"/>
        <v>Paul</v>
      </c>
      <c r="F182" s="13" t="str">
        <f t="shared" ca="1" si="138"/>
        <v>Jason</v>
      </c>
      <c r="G182" s="13" t="str">
        <f t="shared" ca="1" si="138"/>
        <v>Christmas</v>
      </c>
      <c r="H182" s="13" t="str">
        <f t="shared" ca="1" si="138"/>
        <v/>
      </c>
      <c r="I182" s="13" t="str">
        <f t="shared" ca="1" si="138"/>
        <v>Matt</v>
      </c>
      <c r="J182" s="13" t="str">
        <f t="shared" ca="1" si="138"/>
        <v>Ramses</v>
      </c>
      <c r="K182" s="13" t="str">
        <f t="shared" ca="1" si="138"/>
        <v>Elena</v>
      </c>
      <c r="L182" s="13" t="str">
        <f t="shared" ca="1" si="138"/>
        <v>Megan</v>
      </c>
      <c r="M182" s="13" t="str">
        <f t="shared" ca="1" si="138"/>
        <v>Alex</v>
      </c>
      <c r="N182" s="13" t="str">
        <f t="shared" ca="1" si="138"/>
        <v/>
      </c>
      <c r="O182" s="13" t="str">
        <f t="shared" ca="1" si="138"/>
        <v>Matt</v>
      </c>
      <c r="P182" s="13" t="str">
        <f t="shared" ca="1" si="138"/>
        <v>Ramses</v>
      </c>
      <c r="Q182" s="13" t="str">
        <f t="shared" ca="1" si="138"/>
        <v>Cody</v>
      </c>
      <c r="R182" s="13" t="str">
        <f t="shared" ca="1" si="138"/>
        <v>Cameron</v>
      </c>
      <c r="S182" s="13"/>
      <c r="T182" s="13"/>
      <c r="U182" s="13"/>
      <c r="V182" s="13"/>
    </row>
    <row r="183" spans="1:22" x14ac:dyDescent="0.25">
      <c r="A183" s="13"/>
      <c r="B183" s="13" t="str">
        <f t="shared" ca="1" si="137"/>
        <v>Ramses</v>
      </c>
      <c r="C183" s="13" t="str">
        <f t="shared" ref="C183:C194" ca="1" si="139">IF(C182="","",IF(C182=C166,C167,IF(C166=$A$180,C167,C166)))</f>
        <v>Paul</v>
      </c>
      <c r="D183" s="13" t="str">
        <f t="shared" ref="D183:D194" ca="1" si="140">IF(D182="","",IF(D182=D166,D167,IF(D166=$A$180,D167,D166)))</f>
        <v>Ramses</v>
      </c>
      <c r="E183" s="13" t="str">
        <f t="shared" ref="E183:E194" ca="1" si="141">IF(E182="","",IF(E182=E166,E167,IF(E166=$A$180,E167,E166)))</f>
        <v>Matt</v>
      </c>
      <c r="F183" s="13" t="str">
        <f t="shared" ref="F183:F194" ca="1" si="142">IF(F182="","",IF(F182=F166,F167,IF(F166=$A$180,F167,F166)))</f>
        <v>Cody</v>
      </c>
      <c r="G183" s="13" t="str">
        <f t="shared" ref="G183:G194" ca="1" si="143">IF(G182="","",IF(G182=G166,G167,IF(G166=$A$180,G167,G166)))</f>
        <v>Jessica</v>
      </c>
      <c r="H183" s="13" t="str">
        <f t="shared" ref="H183:H194" ca="1" si="144">IF(H182="","",IF(H182=H166,H167,IF(H166=$A$180,H167,H166)))</f>
        <v/>
      </c>
      <c r="I183" s="13" t="str">
        <f t="shared" ref="I183:I194" ca="1" si="145">IF(I182="","",IF(I182=I166,I167,IF(I166=$A$180,I167,I166)))</f>
        <v>Cody</v>
      </c>
      <c r="J183" s="13" t="str">
        <f t="shared" ref="J183:J194" ca="1" si="146">IF(J182="","",IF(J182=J166,J167,IF(J166=$A$180,J167,J166)))</f>
        <v>Jason</v>
      </c>
      <c r="K183" s="13" t="str">
        <f t="shared" ref="K183:K194" ca="1" si="147">IF(K182="","",IF(K182=K166,K167,IF(K166=$A$180,K167,K166)))</f>
        <v>Christmas</v>
      </c>
      <c r="L183" s="13" t="str">
        <f t="shared" ref="L183:L194" ca="1" si="148">IF(L182="","",IF(L182=L166,L167,IF(L166=$A$180,L167,L166)))</f>
        <v>Jillian</v>
      </c>
      <c r="M183" s="13" t="str">
        <f t="shared" ref="M183:M194" ca="1" si="149">IF(M182="","",IF(M182=M166,M167,IF(M166=$A$180,M167,M166)))</f>
        <v>Jessica</v>
      </c>
      <c r="N183" s="13" t="str">
        <f t="shared" ref="N183:N194" ca="1" si="150">IF(N182="","",IF(N182=N166,N167,IF(N166=$A$180,N167,N166)))</f>
        <v/>
      </c>
      <c r="O183" s="13" t="str">
        <f t="shared" ref="O183:O194" ca="1" si="151">IF(O182="","",IF(O182=O166,O167,IF(O166=$A$180,O167,O166)))</f>
        <v>Raven</v>
      </c>
      <c r="P183" s="13" t="str">
        <f t="shared" ref="P183:P194" ca="1" si="152">IF(P182="","",IF(P182=P166,P167,IF(P166=$A$180,P167,P166)))</f>
        <v>Mark</v>
      </c>
      <c r="Q183" s="13" t="str">
        <f t="shared" ref="Q183:Q194" ca="1" si="153">IF(Q182="","",IF(Q182=Q166,Q167,IF(Q166=$A$180,Q167,Q166)))</f>
        <v>Matt</v>
      </c>
      <c r="R183" s="13" t="str">
        <f t="shared" ref="R183:R194" ca="1" si="154">IF(R182="","",IF(R182=R166,R167,IF(R166=$A$180,R167,R166)))</f>
        <v>Elena</v>
      </c>
      <c r="S183" s="13"/>
      <c r="T183" s="13"/>
      <c r="U183" s="13"/>
      <c r="V183" s="13"/>
    </row>
    <row r="184" spans="1:22" x14ac:dyDescent="0.25">
      <c r="A184" s="13"/>
      <c r="B184" s="13" t="str">
        <f t="shared" ca="1" si="137"/>
        <v>Elena</v>
      </c>
      <c r="C184" s="13" t="str">
        <f t="shared" ca="1" si="139"/>
        <v>Jillian</v>
      </c>
      <c r="D184" s="13" t="str">
        <f t="shared" ca="1" si="140"/>
        <v>Matt</v>
      </c>
      <c r="E184" s="13" t="str">
        <f t="shared" ca="1" si="141"/>
        <v>Jillian</v>
      </c>
      <c r="F184" s="13" t="str">
        <f t="shared" ca="1" si="142"/>
        <v>Megan</v>
      </c>
      <c r="G184" s="13" t="str">
        <f t="shared" ca="1" si="143"/>
        <v>Jason</v>
      </c>
      <c r="H184" s="13" t="str">
        <f t="shared" ca="1" si="144"/>
        <v/>
      </c>
      <c r="I184" s="13" t="str">
        <f t="shared" ca="1" si="145"/>
        <v>Alex</v>
      </c>
      <c r="J184" s="13" t="str">
        <f t="shared" ca="1" si="146"/>
        <v>Megan</v>
      </c>
      <c r="K184" s="13" t="str">
        <f t="shared" ca="1" si="147"/>
        <v>Mark</v>
      </c>
      <c r="L184" s="13" t="str">
        <f t="shared" ca="1" si="148"/>
        <v>Alex</v>
      </c>
      <c r="M184" s="13" t="str">
        <f t="shared" ca="1" si="149"/>
        <v>Christmas</v>
      </c>
      <c r="N184" s="13" t="str">
        <f t="shared" ca="1" si="150"/>
        <v/>
      </c>
      <c r="O184" s="13" t="str">
        <f t="shared" ca="1" si="151"/>
        <v>Cameron</v>
      </c>
      <c r="P184" s="13" t="str">
        <f t="shared" ca="1" si="152"/>
        <v>Jessica</v>
      </c>
      <c r="Q184" s="13" t="str">
        <f t="shared" ca="1" si="153"/>
        <v>Jillian</v>
      </c>
      <c r="R184" s="13" t="str">
        <f t="shared" ca="1" si="154"/>
        <v>Jason</v>
      </c>
      <c r="S184" s="13"/>
      <c r="T184" s="13"/>
      <c r="U184" s="13"/>
      <c r="V184" s="13"/>
    </row>
    <row r="185" spans="1:22" x14ac:dyDescent="0.25">
      <c r="A185" s="13"/>
      <c r="B185" s="13" t="str">
        <f t="shared" ca="1" si="137"/>
        <v>Christmas</v>
      </c>
      <c r="C185" s="13" t="str">
        <f t="shared" ca="1" si="139"/>
        <v>Raven</v>
      </c>
      <c r="D185" s="13" t="str">
        <f t="shared" ca="1" si="140"/>
        <v>Christmas</v>
      </c>
      <c r="E185" s="13" t="str">
        <f t="shared" ca="1" si="141"/>
        <v>Cameron</v>
      </c>
      <c r="F185" s="13" t="str">
        <f t="shared" ca="1" si="142"/>
        <v>Cameron</v>
      </c>
      <c r="G185" s="13" t="str">
        <f t="shared" ca="1" si="143"/>
        <v>Jillian</v>
      </c>
      <c r="H185" s="13" t="str">
        <f t="shared" ca="1" si="144"/>
        <v/>
      </c>
      <c r="I185" s="13" t="str">
        <f t="shared" ca="1" si="145"/>
        <v>Jillian</v>
      </c>
      <c r="J185" s="13" t="str">
        <f t="shared" ca="1" si="146"/>
        <v>Cameron</v>
      </c>
      <c r="K185" s="13" t="str">
        <f t="shared" ca="1" si="147"/>
        <v>Ramses</v>
      </c>
      <c r="L185" s="13" t="str">
        <f t="shared" ca="1" si="148"/>
        <v>Jessica</v>
      </c>
      <c r="M185" s="13" t="str">
        <f t="shared" ca="1" si="149"/>
        <v>Jillian</v>
      </c>
      <c r="N185" s="13" t="str">
        <f t="shared" ca="1" si="150"/>
        <v/>
      </c>
      <c r="O185" s="13" t="str">
        <f t="shared" ca="1" si="151"/>
        <v>Josh</v>
      </c>
      <c r="P185" s="13" t="str">
        <f t="shared" ca="1" si="152"/>
        <v>Elena</v>
      </c>
      <c r="Q185" s="13" t="str">
        <f t="shared" ca="1" si="153"/>
        <v>Megan</v>
      </c>
      <c r="R185" s="13" t="str">
        <f t="shared" ca="1" si="154"/>
        <v>Jillian</v>
      </c>
      <c r="S185" s="13"/>
      <c r="T185" s="13"/>
      <c r="U185" s="13"/>
      <c r="V185" s="13"/>
    </row>
    <row r="186" spans="1:22" x14ac:dyDescent="0.25">
      <c r="A186" s="13"/>
      <c r="B186" s="13" t="str">
        <f t="shared" ca="1" si="137"/>
        <v>Cameron</v>
      </c>
      <c r="C186" s="13" t="str">
        <f t="shared" ca="1" si="139"/>
        <v>Megan</v>
      </c>
      <c r="D186" s="13" t="str">
        <f t="shared" ca="1" si="140"/>
        <v>Jessica</v>
      </c>
      <c r="E186" s="13" t="str">
        <f t="shared" ca="1" si="141"/>
        <v>Ramses</v>
      </c>
      <c r="F186" s="13" t="str">
        <f t="shared" ca="1" si="142"/>
        <v>Josh</v>
      </c>
      <c r="G186" s="13" t="str">
        <f t="shared" ca="1" si="143"/>
        <v>Elena</v>
      </c>
      <c r="H186" s="13" t="str">
        <f t="shared" ca="1" si="144"/>
        <v/>
      </c>
      <c r="I186" s="13" t="str">
        <f t="shared" ca="1" si="145"/>
        <v>Cameron</v>
      </c>
      <c r="J186" s="13" t="str">
        <f t="shared" ca="1" si="146"/>
        <v>Elena</v>
      </c>
      <c r="K186" s="13" t="str">
        <f t="shared" ca="1" si="147"/>
        <v>Jason</v>
      </c>
      <c r="L186" s="13" t="str">
        <f t="shared" ca="1" si="148"/>
        <v>Mark</v>
      </c>
      <c r="M186" s="13" t="str">
        <f t="shared" ca="1" si="149"/>
        <v>Raven</v>
      </c>
      <c r="N186" s="13" t="str">
        <f t="shared" ca="1" si="150"/>
        <v/>
      </c>
      <c r="O186" s="13" t="str">
        <f t="shared" ca="1" si="151"/>
        <v>Jillian</v>
      </c>
      <c r="P186" s="13" t="str">
        <f t="shared" ca="1" si="152"/>
        <v>Paul</v>
      </c>
      <c r="Q186" s="13" t="str">
        <f t="shared" ca="1" si="153"/>
        <v>Raven</v>
      </c>
      <c r="R186" s="13" t="str">
        <f t="shared" ca="1" si="154"/>
        <v>Megan</v>
      </c>
      <c r="S186" s="13"/>
      <c r="T186" s="13"/>
      <c r="U186" s="13"/>
      <c r="V186" s="13"/>
    </row>
    <row r="187" spans="1:22" x14ac:dyDescent="0.25">
      <c r="A187" s="13"/>
      <c r="B187" s="13" t="str">
        <f t="shared" ca="1" si="137"/>
        <v>Alex</v>
      </c>
      <c r="C187" s="13" t="str">
        <f t="shared" ca="1" si="139"/>
        <v>Jessica</v>
      </c>
      <c r="D187" s="13" t="str">
        <f t="shared" ca="1" si="140"/>
        <v>Jason</v>
      </c>
      <c r="E187" s="13" t="str">
        <f t="shared" ca="1" si="141"/>
        <v>Alex</v>
      </c>
      <c r="F187" s="13" t="str">
        <f t="shared" ca="1" si="142"/>
        <v>Paul</v>
      </c>
      <c r="G187" s="13" t="str">
        <f t="shared" ca="1" si="143"/>
        <v>Paul</v>
      </c>
      <c r="H187" s="13" t="str">
        <f t="shared" ca="1" si="144"/>
        <v/>
      </c>
      <c r="I187" s="13" t="str">
        <f t="shared" ca="1" si="145"/>
        <v>Megan</v>
      </c>
      <c r="J187" s="13" t="str">
        <f t="shared" ca="1" si="146"/>
        <v>Alex</v>
      </c>
      <c r="K187" s="13" t="str">
        <f t="shared" ca="1" si="147"/>
        <v>Paul</v>
      </c>
      <c r="L187" s="13" t="str">
        <f t="shared" ca="1" si="148"/>
        <v>Paul</v>
      </c>
      <c r="M187" s="13" t="str">
        <f t="shared" ca="1" si="149"/>
        <v>Mark</v>
      </c>
      <c r="N187" s="13" t="str">
        <f t="shared" ca="1" si="150"/>
        <v/>
      </c>
      <c r="O187" s="13" t="str">
        <f t="shared" ca="1" si="151"/>
        <v>Jessica</v>
      </c>
      <c r="P187" s="13" t="str">
        <f t="shared" ca="1" si="152"/>
        <v>Raven</v>
      </c>
      <c r="Q187" s="13" t="str">
        <f t="shared" ca="1" si="153"/>
        <v>Jessica</v>
      </c>
      <c r="R187" s="13" t="str">
        <f t="shared" ca="1" si="154"/>
        <v>Ramses</v>
      </c>
      <c r="S187" s="13"/>
      <c r="T187" s="13"/>
      <c r="U187" s="13"/>
      <c r="V187" s="13"/>
    </row>
    <row r="188" spans="1:22" x14ac:dyDescent="0.25">
      <c r="A188" s="13"/>
      <c r="B188" s="13" t="str">
        <f t="shared" ca="1" si="137"/>
        <v>Jason</v>
      </c>
      <c r="C188" s="13" t="str">
        <f t="shared" ca="1" si="139"/>
        <v>Matt</v>
      </c>
      <c r="D188" s="13" t="str">
        <f t="shared" ca="1" si="140"/>
        <v>Elena</v>
      </c>
      <c r="E188" s="13" t="str">
        <f t="shared" ca="1" si="141"/>
        <v>Josh</v>
      </c>
      <c r="F188" s="13" t="str">
        <f t="shared" ca="1" si="142"/>
        <v>Ramses</v>
      </c>
      <c r="G188" s="13" t="str">
        <f t="shared" ca="1" si="143"/>
        <v>Cody</v>
      </c>
      <c r="H188" s="13" t="str">
        <f t="shared" ca="1" si="144"/>
        <v/>
      </c>
      <c r="I188" s="13" t="str">
        <f t="shared" ca="1" si="145"/>
        <v>Jason</v>
      </c>
      <c r="J188" s="13" t="str">
        <f t="shared" ca="1" si="146"/>
        <v>Cody</v>
      </c>
      <c r="K188" s="13" t="str">
        <f t="shared" ca="1" si="147"/>
        <v>Cody</v>
      </c>
      <c r="L188" s="13" t="str">
        <f t="shared" ca="1" si="148"/>
        <v>Cody</v>
      </c>
      <c r="M188" s="13" t="str">
        <f t="shared" ca="1" si="149"/>
        <v>Paul</v>
      </c>
      <c r="N188" s="13" t="str">
        <f t="shared" ca="1" si="150"/>
        <v/>
      </c>
      <c r="O188" s="13" t="str">
        <f t="shared" ca="1" si="151"/>
        <v>Jason</v>
      </c>
      <c r="P188" s="13" t="str">
        <f t="shared" ca="1" si="152"/>
        <v>Jillian</v>
      </c>
      <c r="Q188" s="13" t="str">
        <f t="shared" ca="1" si="153"/>
        <v>Josh</v>
      </c>
      <c r="R188" s="13" t="str">
        <f t="shared" ca="1" si="154"/>
        <v>Josh</v>
      </c>
      <c r="S188" s="13"/>
      <c r="T188" s="13"/>
      <c r="U188" s="13"/>
      <c r="V188" s="13"/>
    </row>
    <row r="189" spans="1:22" x14ac:dyDescent="0.25">
      <c r="A189" s="13"/>
      <c r="B189" s="13" t="str">
        <f t="shared" ca="1" si="137"/>
        <v>Jillian</v>
      </c>
      <c r="C189" s="13" t="str">
        <f t="shared" ca="1" si="139"/>
        <v>Alex</v>
      </c>
      <c r="D189" s="13" t="str">
        <f t="shared" ca="1" si="140"/>
        <v>Mark</v>
      </c>
      <c r="E189" s="13" t="str">
        <f t="shared" ca="1" si="141"/>
        <v>Jessica</v>
      </c>
      <c r="F189" s="13" t="str">
        <f t="shared" ca="1" si="142"/>
        <v>Jessica</v>
      </c>
      <c r="G189" s="13" t="str">
        <f t="shared" ca="1" si="143"/>
        <v>Matt</v>
      </c>
      <c r="H189" s="13" t="str">
        <f t="shared" ca="1" si="144"/>
        <v/>
      </c>
      <c r="I189" s="13" t="str">
        <f t="shared" ca="1" si="145"/>
        <v>Jessica</v>
      </c>
      <c r="J189" s="13" t="str">
        <f t="shared" ca="1" si="146"/>
        <v>Christmas</v>
      </c>
      <c r="K189" s="13" t="str">
        <f t="shared" ca="1" si="147"/>
        <v>Cameron</v>
      </c>
      <c r="L189" s="13" t="str">
        <f t="shared" ca="1" si="148"/>
        <v>Josh</v>
      </c>
      <c r="M189" s="13" t="str">
        <f t="shared" ca="1" si="149"/>
        <v>Jason</v>
      </c>
      <c r="N189" s="13" t="str">
        <f t="shared" ca="1" si="150"/>
        <v/>
      </c>
      <c r="O189" s="13" t="str">
        <f t="shared" ca="1" si="151"/>
        <v>Paul</v>
      </c>
      <c r="P189" s="13" t="str">
        <f t="shared" ca="1" si="152"/>
        <v>Alex</v>
      </c>
      <c r="Q189" s="13" t="str">
        <f t="shared" ca="1" si="153"/>
        <v>Christmas</v>
      </c>
      <c r="R189" s="13" t="str">
        <f t="shared" ca="1" si="154"/>
        <v>Christmas</v>
      </c>
      <c r="S189" s="13"/>
      <c r="T189" s="13"/>
      <c r="U189" s="13"/>
      <c r="V189" s="13"/>
    </row>
    <row r="190" spans="1:22" x14ac:dyDescent="0.25">
      <c r="A190" s="13"/>
      <c r="B190" s="13" t="str">
        <f t="shared" ca="1" si="137"/>
        <v>Josh</v>
      </c>
      <c r="C190" s="13" t="str">
        <f t="shared" ca="1" si="139"/>
        <v>Mark</v>
      </c>
      <c r="D190" s="13" t="str">
        <f t="shared" ca="1" si="140"/>
        <v>Cody</v>
      </c>
      <c r="E190" s="13" t="str">
        <f t="shared" ca="1" si="141"/>
        <v>Elena</v>
      </c>
      <c r="F190" s="13" t="str">
        <f t="shared" ca="1" si="142"/>
        <v>Mark</v>
      </c>
      <c r="G190" s="13" t="str">
        <f t="shared" ca="1" si="143"/>
        <v>Cameron</v>
      </c>
      <c r="H190" s="13" t="str">
        <f t="shared" ca="1" si="144"/>
        <v/>
      </c>
      <c r="I190" s="13" t="str">
        <f t="shared" ca="1" si="145"/>
        <v>Raven</v>
      </c>
      <c r="J190" s="13" t="str">
        <f t="shared" ca="1" si="146"/>
        <v>Josh</v>
      </c>
      <c r="K190" s="13" t="str">
        <f t="shared" ca="1" si="147"/>
        <v>Matt</v>
      </c>
      <c r="L190" s="13" t="str">
        <f t="shared" ca="1" si="148"/>
        <v>Elena</v>
      </c>
      <c r="M190" s="13" t="str">
        <f t="shared" ca="1" si="149"/>
        <v>Megan</v>
      </c>
      <c r="N190" s="13" t="str">
        <f t="shared" ca="1" si="150"/>
        <v/>
      </c>
      <c r="O190" s="13" t="str">
        <f t="shared" ca="1" si="151"/>
        <v>Mark</v>
      </c>
      <c r="P190" s="13" t="str">
        <f t="shared" ca="1" si="152"/>
        <v>Jason</v>
      </c>
      <c r="Q190" s="13" t="str">
        <f t="shared" ca="1" si="153"/>
        <v>Mark</v>
      </c>
      <c r="R190" s="13" t="str">
        <f t="shared" ca="1" si="154"/>
        <v>Jessica</v>
      </c>
      <c r="S190" s="13"/>
      <c r="T190" s="13"/>
      <c r="U190" s="13"/>
      <c r="V190" s="13"/>
    </row>
    <row r="191" spans="1:22" x14ac:dyDescent="0.25">
      <c r="A191" s="13"/>
      <c r="B191" s="13" t="str">
        <f t="shared" ca="1" si="137"/>
        <v>Matt</v>
      </c>
      <c r="C191" s="13" t="str">
        <f t="shared" ca="1" si="139"/>
        <v>Elena</v>
      </c>
      <c r="D191" s="13" t="str">
        <f t="shared" ca="1" si="140"/>
        <v>Josh</v>
      </c>
      <c r="E191" s="13" t="str">
        <f t="shared" ca="1" si="141"/>
        <v>Cody</v>
      </c>
      <c r="F191" s="13" t="str">
        <f t="shared" ca="1" si="142"/>
        <v>Jillian</v>
      </c>
      <c r="G191" s="13" t="str">
        <f t="shared" ca="1" si="143"/>
        <v>Ramses</v>
      </c>
      <c r="H191" s="13" t="str">
        <f t="shared" ca="1" si="144"/>
        <v/>
      </c>
      <c r="I191" s="13" t="str">
        <f t="shared" ca="1" si="145"/>
        <v>Mark</v>
      </c>
      <c r="J191" s="13" t="str">
        <f t="shared" ca="1" si="146"/>
        <v>Mark</v>
      </c>
      <c r="K191" s="13" t="str">
        <f t="shared" ca="1" si="147"/>
        <v>Alex</v>
      </c>
      <c r="L191" s="13" t="str">
        <f t="shared" ca="1" si="148"/>
        <v>Raven</v>
      </c>
      <c r="M191" s="13" t="str">
        <f t="shared" ca="1" si="149"/>
        <v>Cameron</v>
      </c>
      <c r="N191" s="13" t="str">
        <f t="shared" ca="1" si="150"/>
        <v/>
      </c>
      <c r="O191" s="13" t="str">
        <f t="shared" ca="1" si="151"/>
        <v>Alex</v>
      </c>
      <c r="P191" s="13" t="str">
        <f t="shared" ca="1" si="152"/>
        <v>Cameron</v>
      </c>
      <c r="Q191" s="13" t="str">
        <f t="shared" ca="1" si="153"/>
        <v>Jason</v>
      </c>
      <c r="R191" s="13" t="str">
        <f t="shared" ca="1" si="154"/>
        <v>Raven</v>
      </c>
      <c r="S191" s="13"/>
      <c r="T191" s="13"/>
      <c r="U191" s="13"/>
      <c r="V191" s="13"/>
    </row>
    <row r="192" spans="1:22" x14ac:dyDescent="0.25">
      <c r="A192" s="13"/>
      <c r="B192" s="13" t="str">
        <f t="shared" ca="1" si="137"/>
        <v>Mark</v>
      </c>
      <c r="C192" s="13" t="str">
        <f t="shared" ca="1" si="139"/>
        <v>Cody</v>
      </c>
      <c r="D192" s="13" t="str">
        <f t="shared" ca="1" si="140"/>
        <v>Cameron</v>
      </c>
      <c r="E192" s="13" t="str">
        <f t="shared" ca="1" si="141"/>
        <v>Raven</v>
      </c>
      <c r="F192" s="13" t="str">
        <f t="shared" ca="1" si="142"/>
        <v>Raven</v>
      </c>
      <c r="G192" s="13" t="str">
        <f t="shared" ca="1" si="143"/>
        <v>Josh</v>
      </c>
      <c r="H192" s="13" t="str">
        <f t="shared" ca="1" si="144"/>
        <v/>
      </c>
      <c r="I192" s="13" t="str">
        <f t="shared" ca="1" si="145"/>
        <v>Christmas</v>
      </c>
      <c r="J192" s="13" t="str">
        <f t="shared" ca="1" si="146"/>
        <v>Raven</v>
      </c>
      <c r="K192" s="13" t="str">
        <f t="shared" ca="1" si="147"/>
        <v>Megan</v>
      </c>
      <c r="L192" s="13" t="str">
        <f t="shared" ca="1" si="148"/>
        <v>Christmas</v>
      </c>
      <c r="M192" s="13" t="str">
        <f t="shared" ca="1" si="149"/>
        <v>Ramses</v>
      </c>
      <c r="N192" s="13" t="str">
        <f t="shared" ca="1" si="150"/>
        <v/>
      </c>
      <c r="O192" s="13" t="str">
        <f t="shared" ca="1" si="151"/>
        <v>Megan</v>
      </c>
      <c r="P192" s="13" t="str">
        <f t="shared" ca="1" si="152"/>
        <v>Josh</v>
      </c>
      <c r="Q192" s="13" t="str">
        <f t="shared" ca="1" si="153"/>
        <v>Elena</v>
      </c>
      <c r="R192" s="13" t="str">
        <f t="shared" ca="1" si="154"/>
        <v>Cody</v>
      </c>
      <c r="S192" s="13"/>
      <c r="T192" s="13"/>
      <c r="U192" s="13"/>
      <c r="V192" s="13"/>
    </row>
    <row r="193" spans="1:22" x14ac:dyDescent="0.25">
      <c r="A193" s="13"/>
      <c r="B193" s="13" t="str">
        <f t="shared" ca="1" si="137"/>
        <v>Megan</v>
      </c>
      <c r="C193" s="13" t="str">
        <f t="shared" ca="1" si="139"/>
        <v>Cameron</v>
      </c>
      <c r="D193" s="13" t="str">
        <f t="shared" ca="1" si="140"/>
        <v>Alex</v>
      </c>
      <c r="E193" s="13" t="str">
        <f t="shared" ca="1" si="141"/>
        <v>Mark</v>
      </c>
      <c r="F193" s="13" t="str">
        <f t="shared" ca="1" si="142"/>
        <v>Elena</v>
      </c>
      <c r="G193" s="13" t="str">
        <f t="shared" ca="1" si="143"/>
        <v>Raven</v>
      </c>
      <c r="H193" s="13" t="str">
        <f t="shared" ca="1" si="144"/>
        <v/>
      </c>
      <c r="I193" s="13" t="str">
        <f t="shared" ca="1" si="145"/>
        <v>Paul</v>
      </c>
      <c r="J193" s="13" t="str">
        <f t="shared" ca="1" si="146"/>
        <v>Jessica</v>
      </c>
      <c r="K193" s="13" t="str">
        <f t="shared" ca="1" si="147"/>
        <v>Josh</v>
      </c>
      <c r="L193" s="13" t="str">
        <f t="shared" ca="1" si="148"/>
        <v>Cameron</v>
      </c>
      <c r="M193" s="13" t="str">
        <f t="shared" ca="1" si="149"/>
        <v>Matt</v>
      </c>
      <c r="N193" s="13" t="str">
        <f t="shared" ca="1" si="150"/>
        <v/>
      </c>
      <c r="O193" s="13" t="str">
        <f t="shared" ca="1" si="151"/>
        <v>Ramses</v>
      </c>
      <c r="P193" s="13" t="str">
        <f t="shared" ca="1" si="152"/>
        <v>Megan</v>
      </c>
      <c r="Q193" s="13" t="str">
        <f t="shared" ca="1" si="153"/>
        <v>Paul</v>
      </c>
      <c r="R193" s="13" t="str">
        <f t="shared" ca="1" si="154"/>
        <v>Paul</v>
      </c>
      <c r="S193" s="13"/>
      <c r="T193" s="13"/>
      <c r="U193" s="13"/>
      <c r="V193" s="13"/>
    </row>
    <row r="194" spans="1:22" x14ac:dyDescent="0.25">
      <c r="A194" s="13"/>
      <c r="B194" s="13" t="str">
        <f t="shared" ca="1" si="137"/>
        <v>Paul</v>
      </c>
      <c r="C194" s="13" t="str">
        <f t="shared" ca="1" si="139"/>
        <v>Jason</v>
      </c>
      <c r="D194" s="13" t="str">
        <f t="shared" ca="1" si="140"/>
        <v>Raven</v>
      </c>
      <c r="E194" s="13" t="str">
        <f t="shared" ca="1" si="141"/>
        <v>Christmas</v>
      </c>
      <c r="F194" s="13" t="str">
        <f t="shared" ca="1" si="142"/>
        <v>Alex</v>
      </c>
      <c r="G194" s="13" t="str">
        <f t="shared" ca="1" si="143"/>
        <v>Megan</v>
      </c>
      <c r="H194" s="13" t="str">
        <f t="shared" ca="1" si="144"/>
        <v/>
      </c>
      <c r="I194" s="13" t="str">
        <f t="shared" ca="1" si="145"/>
        <v>Elena</v>
      </c>
      <c r="J194" s="13" t="str">
        <f t="shared" ca="1" si="146"/>
        <v>Matt</v>
      </c>
      <c r="K194" s="13" t="str">
        <f t="shared" ca="1" si="147"/>
        <v>Jillian</v>
      </c>
      <c r="L194" s="13" t="str">
        <f t="shared" ca="1" si="148"/>
        <v>Ramses</v>
      </c>
      <c r="M194" s="13" t="str">
        <f t="shared" ca="1" si="149"/>
        <v>Josh</v>
      </c>
      <c r="N194" s="13" t="str">
        <f t="shared" ca="1" si="150"/>
        <v/>
      </c>
      <c r="O194" s="13" t="str">
        <f t="shared" ca="1" si="151"/>
        <v>Christmas</v>
      </c>
      <c r="P194" s="13" t="str">
        <f t="shared" ca="1" si="152"/>
        <v>Cody</v>
      </c>
      <c r="Q194" s="13" t="str">
        <f t="shared" ca="1" si="153"/>
        <v>Ramses</v>
      </c>
      <c r="R194" s="13" t="str">
        <f t="shared" ca="1" si="154"/>
        <v>Matt</v>
      </c>
      <c r="S194" s="13"/>
      <c r="T194" s="13"/>
      <c r="U194" s="13"/>
      <c r="V194" s="13"/>
    </row>
    <row r="195" spans="1:2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x14ac:dyDescent="0.25">
      <c r="A196" s="13" t="str">
        <f ca="1">Game!J643</f>
        <v>Paul</v>
      </c>
      <c r="B196" s="13" t="str">
        <f t="shared" ref="B196:R196" ca="1" si="155">IF(B180=$A196,"",B180)</f>
        <v>Raven</v>
      </c>
      <c r="C196" s="13" t="str">
        <f t="shared" ca="1" si="155"/>
        <v>Ramses</v>
      </c>
      <c r="D196" s="13" t="str">
        <f t="shared" ca="1" si="155"/>
        <v/>
      </c>
      <c r="E196" s="13" t="str">
        <f t="shared" ca="1" si="155"/>
        <v>Megan</v>
      </c>
      <c r="F196" s="13" t="str">
        <f t="shared" ca="1" si="155"/>
        <v>Matt</v>
      </c>
      <c r="G196" s="13" t="str">
        <f t="shared" ca="1" si="155"/>
        <v>Mark</v>
      </c>
      <c r="H196" s="13" t="str">
        <f t="shared" ca="1" si="155"/>
        <v/>
      </c>
      <c r="I196" s="13" t="str">
        <f t="shared" ca="1" si="155"/>
        <v>Josh</v>
      </c>
      <c r="J196" s="13" t="str">
        <f t="shared" ca="1" si="155"/>
        <v>Jillian</v>
      </c>
      <c r="K196" s="13" t="str">
        <f t="shared" ca="1" si="155"/>
        <v>Jessica</v>
      </c>
      <c r="L196" s="13" t="str">
        <f t="shared" ca="1" si="155"/>
        <v>Jason</v>
      </c>
      <c r="M196" s="13" t="str">
        <f t="shared" ca="1" si="155"/>
        <v>Elena</v>
      </c>
      <c r="N196" s="13" t="str">
        <f t="shared" ca="1" si="155"/>
        <v/>
      </c>
      <c r="O196" s="13" t="str">
        <f t="shared" ca="1" si="155"/>
        <v>Cody</v>
      </c>
      <c r="P196" s="13" t="str">
        <f t="shared" ca="1" si="155"/>
        <v>Christmas</v>
      </c>
      <c r="Q196" s="13" t="str">
        <f t="shared" ca="1" si="155"/>
        <v>Cameron</v>
      </c>
      <c r="R196" s="13" t="str">
        <f t="shared" ca="1" si="155"/>
        <v>Alex</v>
      </c>
      <c r="S196" s="13"/>
      <c r="T196" s="13"/>
      <c r="U196" s="13"/>
      <c r="V196" s="13"/>
    </row>
    <row r="197" spans="1:22" x14ac:dyDescent="0.25">
      <c r="A197" s="13"/>
      <c r="B197" s="13" t="str">
        <f t="shared" ref="B197:R197" ca="1" si="156">IF(B196="","",IF(B181=$A$196,B182,B181))</f>
        <v>Jessica</v>
      </c>
      <c r="C197" s="13" t="str">
        <f t="shared" ca="1" si="156"/>
        <v>Christmas</v>
      </c>
      <c r="D197" s="13" t="str">
        <f t="shared" ca="1" si="156"/>
        <v/>
      </c>
      <c r="E197" s="13" t="str">
        <f t="shared" ca="1" si="156"/>
        <v>Jason</v>
      </c>
      <c r="F197" s="13" t="str">
        <f t="shared" ca="1" si="156"/>
        <v>Christmas</v>
      </c>
      <c r="G197" s="13" t="str">
        <f t="shared" ca="1" si="156"/>
        <v>Alex</v>
      </c>
      <c r="H197" s="13" t="str">
        <f t="shared" ca="1" si="156"/>
        <v/>
      </c>
      <c r="I197" s="13" t="str">
        <f t="shared" ca="1" si="156"/>
        <v>Ramses</v>
      </c>
      <c r="J197" s="13" t="str">
        <f t="shared" ca="1" si="156"/>
        <v>Ramses</v>
      </c>
      <c r="K197" s="13" t="str">
        <f t="shared" ca="1" si="156"/>
        <v>Raven</v>
      </c>
      <c r="L197" s="13" t="str">
        <f t="shared" ca="1" si="156"/>
        <v>Matt</v>
      </c>
      <c r="M197" s="13" t="str">
        <f t="shared" ca="1" si="156"/>
        <v>Cody</v>
      </c>
      <c r="N197" s="13" t="str">
        <f t="shared" ca="1" si="156"/>
        <v/>
      </c>
      <c r="O197" s="13" t="str">
        <f t="shared" ca="1" si="156"/>
        <v>Elena</v>
      </c>
      <c r="P197" s="13" t="str">
        <f t="shared" ca="1" si="156"/>
        <v>Matt</v>
      </c>
      <c r="Q197" s="13" t="str">
        <f t="shared" ca="1" si="156"/>
        <v>Alex</v>
      </c>
      <c r="R197" s="13" t="str">
        <f t="shared" ca="1" si="156"/>
        <v>Mark</v>
      </c>
      <c r="S197" s="13"/>
      <c r="T197" s="13"/>
      <c r="U197" s="13"/>
      <c r="V197" s="13"/>
    </row>
    <row r="198" spans="1:22" x14ac:dyDescent="0.25">
      <c r="A198" s="13"/>
      <c r="B198" s="13" t="str">
        <f t="shared" ref="B198:B209" ca="1" si="157">IF(B197="","",IF(B197=B182,B183,IF(B182=$A$196,B183,B182)))</f>
        <v>Cody</v>
      </c>
      <c r="C198" s="13" t="str">
        <f t="shared" ref="C198:C209" ca="1" si="158">IF(C197="","",IF(C197=C182,C183,IF(C182=$A$196,C183,C182)))</f>
        <v>Josh</v>
      </c>
      <c r="D198" s="13" t="str">
        <f t="shared" ref="D198:D209" ca="1" si="159">IF(D197="","",IF(D197=D182,D183,IF(D182=$A$196,D183,D182)))</f>
        <v/>
      </c>
      <c r="E198" s="13" t="str">
        <f t="shared" ref="E198:E209" ca="1" si="160">IF(E197="","",IF(E197=E182,E183,IF(E182=$A$196,E183,E182)))</f>
        <v>Matt</v>
      </c>
      <c r="F198" s="13" t="str">
        <f t="shared" ref="F198:F209" ca="1" si="161">IF(F197="","",IF(F197=F182,F183,IF(F182=$A$196,F183,F182)))</f>
        <v>Jason</v>
      </c>
      <c r="G198" s="13" t="str">
        <f t="shared" ref="G198:G209" ca="1" si="162">IF(G197="","",IF(G197=G182,G183,IF(G182=$A$196,G183,G182)))</f>
        <v>Christmas</v>
      </c>
      <c r="H198" s="13" t="str">
        <f t="shared" ref="H198:H209" ca="1" si="163">IF(H197="","",IF(H197=H182,H183,IF(H182=$A$196,H183,H182)))</f>
        <v/>
      </c>
      <c r="I198" s="13" t="str">
        <f t="shared" ref="I198:I209" ca="1" si="164">IF(I197="","",IF(I197=I182,I183,IF(I182=$A$196,I183,I182)))</f>
        <v>Matt</v>
      </c>
      <c r="J198" s="13" t="str">
        <f t="shared" ref="J198:J209" ca="1" si="165">IF(J197="","",IF(J197=J182,J183,IF(J182=$A$196,J183,J182)))</f>
        <v>Jason</v>
      </c>
      <c r="K198" s="13" t="str">
        <f t="shared" ref="K198:K209" ca="1" si="166">IF(K197="","",IF(K197=K182,K183,IF(K182=$A$196,K183,K182)))</f>
        <v>Elena</v>
      </c>
      <c r="L198" s="13" t="str">
        <f t="shared" ref="L198:L209" ca="1" si="167">IF(L197="","",IF(L197=L182,L183,IF(L182=$A$196,L183,L182)))</f>
        <v>Megan</v>
      </c>
      <c r="M198" s="13" t="str">
        <f t="shared" ref="M198:M209" ca="1" si="168">IF(M197="","",IF(M197=M182,M183,IF(M182=$A$196,M183,M182)))</f>
        <v>Alex</v>
      </c>
      <c r="N198" s="13" t="str">
        <f t="shared" ref="N198:N209" ca="1" si="169">IF(N197="","",IF(N197=N182,N183,IF(N182=$A$196,N183,N182)))</f>
        <v/>
      </c>
      <c r="O198" s="13" t="str">
        <f t="shared" ref="O198:O209" ca="1" si="170">IF(O197="","",IF(O197=O182,O183,IF(O182=$A$196,O183,O182)))</f>
        <v>Matt</v>
      </c>
      <c r="P198" s="13" t="str">
        <f t="shared" ref="P198:P209" ca="1" si="171">IF(P197="","",IF(P197=P182,P183,IF(P182=$A$196,P183,P182)))</f>
        <v>Ramses</v>
      </c>
      <c r="Q198" s="13" t="str">
        <f t="shared" ref="Q198:Q209" ca="1" si="172">IF(Q197="","",IF(Q197=Q182,Q183,IF(Q182=$A$196,Q183,Q182)))</f>
        <v>Cody</v>
      </c>
      <c r="R198" s="13" t="str">
        <f t="shared" ref="R198:R209" ca="1" si="173">IF(R197="","",IF(R197=R182,R183,IF(R182=$A$196,R183,R182)))</f>
        <v>Cameron</v>
      </c>
      <c r="S198" s="13"/>
      <c r="T198" s="13"/>
      <c r="U198" s="13"/>
      <c r="V198" s="13"/>
    </row>
    <row r="199" spans="1:22" x14ac:dyDescent="0.25">
      <c r="A199" s="13"/>
      <c r="B199" s="13" t="str">
        <f t="shared" ca="1" si="157"/>
        <v>Ramses</v>
      </c>
      <c r="C199" s="13" t="str">
        <f t="shared" ca="1" si="158"/>
        <v>Jillian</v>
      </c>
      <c r="D199" s="13" t="str">
        <f t="shared" ca="1" si="159"/>
        <v/>
      </c>
      <c r="E199" s="13" t="str">
        <f t="shared" ca="1" si="160"/>
        <v>Jillian</v>
      </c>
      <c r="F199" s="13" t="str">
        <f t="shared" ca="1" si="161"/>
        <v>Cody</v>
      </c>
      <c r="G199" s="13" t="str">
        <f t="shared" ca="1" si="162"/>
        <v>Jessica</v>
      </c>
      <c r="H199" s="13" t="str">
        <f t="shared" ca="1" si="163"/>
        <v/>
      </c>
      <c r="I199" s="13" t="str">
        <f t="shared" ca="1" si="164"/>
        <v>Cody</v>
      </c>
      <c r="J199" s="13" t="str">
        <f t="shared" ca="1" si="165"/>
        <v>Megan</v>
      </c>
      <c r="K199" s="13" t="str">
        <f t="shared" ca="1" si="166"/>
        <v>Christmas</v>
      </c>
      <c r="L199" s="13" t="str">
        <f t="shared" ca="1" si="167"/>
        <v>Jillian</v>
      </c>
      <c r="M199" s="13" t="str">
        <f t="shared" ca="1" si="168"/>
        <v>Jessica</v>
      </c>
      <c r="N199" s="13" t="str">
        <f t="shared" ca="1" si="169"/>
        <v/>
      </c>
      <c r="O199" s="13" t="str">
        <f t="shared" ca="1" si="170"/>
        <v>Raven</v>
      </c>
      <c r="P199" s="13" t="str">
        <f t="shared" ca="1" si="171"/>
        <v>Mark</v>
      </c>
      <c r="Q199" s="13" t="str">
        <f t="shared" ca="1" si="172"/>
        <v>Matt</v>
      </c>
      <c r="R199" s="13" t="str">
        <f t="shared" ca="1" si="173"/>
        <v>Elena</v>
      </c>
      <c r="S199" s="13"/>
      <c r="T199" s="13"/>
      <c r="U199" s="13"/>
      <c r="V199" s="13"/>
    </row>
    <row r="200" spans="1:22" x14ac:dyDescent="0.25">
      <c r="A200" s="13"/>
      <c r="B200" s="13" t="str">
        <f t="shared" ca="1" si="157"/>
        <v>Elena</v>
      </c>
      <c r="C200" s="13" t="str">
        <f t="shared" ca="1" si="158"/>
        <v>Raven</v>
      </c>
      <c r="D200" s="13" t="str">
        <f t="shared" ca="1" si="159"/>
        <v/>
      </c>
      <c r="E200" s="13" t="str">
        <f t="shared" ca="1" si="160"/>
        <v>Cameron</v>
      </c>
      <c r="F200" s="13" t="str">
        <f t="shared" ca="1" si="161"/>
        <v>Megan</v>
      </c>
      <c r="G200" s="13" t="str">
        <f t="shared" ca="1" si="162"/>
        <v>Jason</v>
      </c>
      <c r="H200" s="13" t="str">
        <f t="shared" ca="1" si="163"/>
        <v/>
      </c>
      <c r="I200" s="13" t="str">
        <f t="shared" ca="1" si="164"/>
        <v>Alex</v>
      </c>
      <c r="J200" s="13" t="str">
        <f t="shared" ca="1" si="165"/>
        <v>Cameron</v>
      </c>
      <c r="K200" s="13" t="str">
        <f t="shared" ca="1" si="166"/>
        <v>Mark</v>
      </c>
      <c r="L200" s="13" t="str">
        <f t="shared" ca="1" si="167"/>
        <v>Alex</v>
      </c>
      <c r="M200" s="13" t="str">
        <f t="shared" ca="1" si="168"/>
        <v>Christmas</v>
      </c>
      <c r="N200" s="13" t="str">
        <f t="shared" ca="1" si="169"/>
        <v/>
      </c>
      <c r="O200" s="13" t="str">
        <f t="shared" ca="1" si="170"/>
        <v>Cameron</v>
      </c>
      <c r="P200" s="13" t="str">
        <f t="shared" ca="1" si="171"/>
        <v>Jessica</v>
      </c>
      <c r="Q200" s="13" t="str">
        <f t="shared" ca="1" si="172"/>
        <v>Jillian</v>
      </c>
      <c r="R200" s="13" t="str">
        <f t="shared" ca="1" si="173"/>
        <v>Jason</v>
      </c>
      <c r="S200" s="13"/>
      <c r="T200" s="13"/>
      <c r="U200" s="13"/>
      <c r="V200" s="13"/>
    </row>
    <row r="201" spans="1:22" x14ac:dyDescent="0.25">
      <c r="A201" s="13"/>
      <c r="B201" s="13" t="str">
        <f t="shared" ca="1" si="157"/>
        <v>Christmas</v>
      </c>
      <c r="C201" s="13" t="str">
        <f t="shared" ca="1" si="158"/>
        <v>Megan</v>
      </c>
      <c r="D201" s="13" t="str">
        <f t="shared" ca="1" si="159"/>
        <v/>
      </c>
      <c r="E201" s="13" t="str">
        <f t="shared" ca="1" si="160"/>
        <v>Ramses</v>
      </c>
      <c r="F201" s="13" t="str">
        <f t="shared" ca="1" si="161"/>
        <v>Cameron</v>
      </c>
      <c r="G201" s="13" t="str">
        <f t="shared" ca="1" si="162"/>
        <v>Jillian</v>
      </c>
      <c r="H201" s="13" t="str">
        <f t="shared" ca="1" si="163"/>
        <v/>
      </c>
      <c r="I201" s="13" t="str">
        <f t="shared" ca="1" si="164"/>
        <v>Jillian</v>
      </c>
      <c r="J201" s="13" t="str">
        <f t="shared" ca="1" si="165"/>
        <v>Elena</v>
      </c>
      <c r="K201" s="13" t="str">
        <f t="shared" ca="1" si="166"/>
        <v>Ramses</v>
      </c>
      <c r="L201" s="13" t="str">
        <f t="shared" ca="1" si="167"/>
        <v>Jessica</v>
      </c>
      <c r="M201" s="13" t="str">
        <f t="shared" ca="1" si="168"/>
        <v>Jillian</v>
      </c>
      <c r="N201" s="13" t="str">
        <f t="shared" ca="1" si="169"/>
        <v/>
      </c>
      <c r="O201" s="13" t="str">
        <f t="shared" ca="1" si="170"/>
        <v>Josh</v>
      </c>
      <c r="P201" s="13" t="str">
        <f t="shared" ca="1" si="171"/>
        <v>Elena</v>
      </c>
      <c r="Q201" s="13" t="str">
        <f t="shared" ca="1" si="172"/>
        <v>Megan</v>
      </c>
      <c r="R201" s="13" t="str">
        <f t="shared" ca="1" si="173"/>
        <v>Jillian</v>
      </c>
      <c r="S201" s="13"/>
      <c r="T201" s="13"/>
      <c r="U201" s="13"/>
      <c r="V201" s="13"/>
    </row>
    <row r="202" spans="1:22" x14ac:dyDescent="0.25">
      <c r="A202" s="13"/>
      <c r="B202" s="13" t="str">
        <f t="shared" ca="1" si="157"/>
        <v>Cameron</v>
      </c>
      <c r="C202" s="13" t="str">
        <f t="shared" ca="1" si="158"/>
        <v>Jessica</v>
      </c>
      <c r="D202" s="13" t="str">
        <f t="shared" ca="1" si="159"/>
        <v/>
      </c>
      <c r="E202" s="13" t="str">
        <f t="shared" ca="1" si="160"/>
        <v>Alex</v>
      </c>
      <c r="F202" s="13" t="str">
        <f t="shared" ca="1" si="161"/>
        <v>Josh</v>
      </c>
      <c r="G202" s="13" t="str">
        <f t="shared" ca="1" si="162"/>
        <v>Elena</v>
      </c>
      <c r="H202" s="13" t="str">
        <f t="shared" ca="1" si="163"/>
        <v/>
      </c>
      <c r="I202" s="13" t="str">
        <f t="shared" ca="1" si="164"/>
        <v>Cameron</v>
      </c>
      <c r="J202" s="13" t="str">
        <f t="shared" ca="1" si="165"/>
        <v>Alex</v>
      </c>
      <c r="K202" s="13" t="str">
        <f t="shared" ca="1" si="166"/>
        <v>Jason</v>
      </c>
      <c r="L202" s="13" t="str">
        <f t="shared" ca="1" si="167"/>
        <v>Mark</v>
      </c>
      <c r="M202" s="13" t="str">
        <f t="shared" ca="1" si="168"/>
        <v>Raven</v>
      </c>
      <c r="N202" s="13" t="str">
        <f t="shared" ca="1" si="169"/>
        <v/>
      </c>
      <c r="O202" s="13" t="str">
        <f t="shared" ca="1" si="170"/>
        <v>Jillian</v>
      </c>
      <c r="P202" s="13" t="str">
        <f t="shared" ca="1" si="171"/>
        <v>Raven</v>
      </c>
      <c r="Q202" s="13" t="str">
        <f t="shared" ca="1" si="172"/>
        <v>Raven</v>
      </c>
      <c r="R202" s="13" t="str">
        <f t="shared" ca="1" si="173"/>
        <v>Megan</v>
      </c>
      <c r="S202" s="13"/>
      <c r="T202" s="13"/>
      <c r="U202" s="13"/>
      <c r="V202" s="13"/>
    </row>
    <row r="203" spans="1:22" x14ac:dyDescent="0.25">
      <c r="A203" s="13"/>
      <c r="B203" s="13" t="str">
        <f t="shared" ca="1" si="157"/>
        <v>Alex</v>
      </c>
      <c r="C203" s="13" t="str">
        <f t="shared" ca="1" si="158"/>
        <v>Matt</v>
      </c>
      <c r="D203" s="13" t="str">
        <f t="shared" ca="1" si="159"/>
        <v/>
      </c>
      <c r="E203" s="13" t="str">
        <f t="shared" ca="1" si="160"/>
        <v>Josh</v>
      </c>
      <c r="F203" s="13" t="str">
        <f t="shared" ca="1" si="161"/>
        <v>Ramses</v>
      </c>
      <c r="G203" s="13" t="str">
        <f t="shared" ca="1" si="162"/>
        <v>Cody</v>
      </c>
      <c r="H203" s="13" t="str">
        <f t="shared" ca="1" si="163"/>
        <v/>
      </c>
      <c r="I203" s="13" t="str">
        <f t="shared" ca="1" si="164"/>
        <v>Megan</v>
      </c>
      <c r="J203" s="13" t="str">
        <f t="shared" ca="1" si="165"/>
        <v>Cody</v>
      </c>
      <c r="K203" s="13" t="str">
        <f t="shared" ca="1" si="166"/>
        <v>Cody</v>
      </c>
      <c r="L203" s="13" t="str">
        <f t="shared" ca="1" si="167"/>
        <v>Cody</v>
      </c>
      <c r="M203" s="13" t="str">
        <f t="shared" ca="1" si="168"/>
        <v>Mark</v>
      </c>
      <c r="N203" s="13" t="str">
        <f t="shared" ca="1" si="169"/>
        <v/>
      </c>
      <c r="O203" s="13" t="str">
        <f t="shared" ca="1" si="170"/>
        <v>Jessica</v>
      </c>
      <c r="P203" s="13" t="str">
        <f t="shared" ca="1" si="171"/>
        <v>Jillian</v>
      </c>
      <c r="Q203" s="13" t="str">
        <f t="shared" ca="1" si="172"/>
        <v>Jessica</v>
      </c>
      <c r="R203" s="13" t="str">
        <f t="shared" ca="1" si="173"/>
        <v>Ramses</v>
      </c>
      <c r="S203" s="13"/>
      <c r="T203" s="13"/>
      <c r="U203" s="13"/>
      <c r="V203" s="13"/>
    </row>
    <row r="204" spans="1:22" x14ac:dyDescent="0.25">
      <c r="A204" s="13"/>
      <c r="B204" s="13" t="str">
        <f t="shared" ca="1" si="157"/>
        <v>Jason</v>
      </c>
      <c r="C204" s="13" t="str">
        <f t="shared" ca="1" si="158"/>
        <v>Alex</v>
      </c>
      <c r="D204" s="13" t="str">
        <f t="shared" ca="1" si="159"/>
        <v/>
      </c>
      <c r="E204" s="13" t="str">
        <f t="shared" ca="1" si="160"/>
        <v>Jessica</v>
      </c>
      <c r="F204" s="13" t="str">
        <f t="shared" ca="1" si="161"/>
        <v>Jessica</v>
      </c>
      <c r="G204" s="13" t="str">
        <f t="shared" ca="1" si="162"/>
        <v>Matt</v>
      </c>
      <c r="H204" s="13" t="str">
        <f t="shared" ca="1" si="163"/>
        <v/>
      </c>
      <c r="I204" s="13" t="str">
        <f t="shared" ca="1" si="164"/>
        <v>Jason</v>
      </c>
      <c r="J204" s="13" t="str">
        <f t="shared" ca="1" si="165"/>
        <v>Christmas</v>
      </c>
      <c r="K204" s="13" t="str">
        <f t="shared" ca="1" si="166"/>
        <v>Cameron</v>
      </c>
      <c r="L204" s="13" t="str">
        <f t="shared" ca="1" si="167"/>
        <v>Josh</v>
      </c>
      <c r="M204" s="13" t="str">
        <f t="shared" ca="1" si="168"/>
        <v>Jason</v>
      </c>
      <c r="N204" s="13" t="str">
        <f t="shared" ca="1" si="169"/>
        <v/>
      </c>
      <c r="O204" s="13" t="str">
        <f t="shared" ca="1" si="170"/>
        <v>Jason</v>
      </c>
      <c r="P204" s="13" t="str">
        <f t="shared" ca="1" si="171"/>
        <v>Alex</v>
      </c>
      <c r="Q204" s="13" t="str">
        <f t="shared" ca="1" si="172"/>
        <v>Josh</v>
      </c>
      <c r="R204" s="13" t="str">
        <f t="shared" ca="1" si="173"/>
        <v>Josh</v>
      </c>
      <c r="S204" s="13"/>
      <c r="T204" s="13"/>
      <c r="U204" s="13"/>
      <c r="V204" s="13"/>
    </row>
    <row r="205" spans="1:22" x14ac:dyDescent="0.25">
      <c r="A205" s="13"/>
      <c r="B205" s="13" t="str">
        <f t="shared" ca="1" si="157"/>
        <v>Jillian</v>
      </c>
      <c r="C205" s="13" t="str">
        <f t="shared" ca="1" si="158"/>
        <v>Mark</v>
      </c>
      <c r="D205" s="13" t="str">
        <f t="shared" ca="1" si="159"/>
        <v/>
      </c>
      <c r="E205" s="13" t="str">
        <f t="shared" ca="1" si="160"/>
        <v>Elena</v>
      </c>
      <c r="F205" s="13" t="str">
        <f t="shared" ca="1" si="161"/>
        <v>Mark</v>
      </c>
      <c r="G205" s="13" t="str">
        <f t="shared" ca="1" si="162"/>
        <v>Cameron</v>
      </c>
      <c r="H205" s="13" t="str">
        <f t="shared" ca="1" si="163"/>
        <v/>
      </c>
      <c r="I205" s="13" t="str">
        <f t="shared" ca="1" si="164"/>
        <v>Jessica</v>
      </c>
      <c r="J205" s="13" t="str">
        <f t="shared" ca="1" si="165"/>
        <v>Josh</v>
      </c>
      <c r="K205" s="13" t="str">
        <f t="shared" ca="1" si="166"/>
        <v>Matt</v>
      </c>
      <c r="L205" s="13" t="str">
        <f t="shared" ca="1" si="167"/>
        <v>Elena</v>
      </c>
      <c r="M205" s="13" t="str">
        <f t="shared" ca="1" si="168"/>
        <v>Megan</v>
      </c>
      <c r="N205" s="13" t="str">
        <f t="shared" ca="1" si="169"/>
        <v/>
      </c>
      <c r="O205" s="13" t="str">
        <f t="shared" ca="1" si="170"/>
        <v>Mark</v>
      </c>
      <c r="P205" s="13" t="str">
        <f t="shared" ca="1" si="171"/>
        <v>Jason</v>
      </c>
      <c r="Q205" s="13" t="str">
        <f t="shared" ca="1" si="172"/>
        <v>Christmas</v>
      </c>
      <c r="R205" s="13" t="str">
        <f t="shared" ca="1" si="173"/>
        <v>Christmas</v>
      </c>
      <c r="S205" s="13"/>
      <c r="T205" s="13"/>
      <c r="U205" s="13"/>
      <c r="V205" s="13"/>
    </row>
    <row r="206" spans="1:22" x14ac:dyDescent="0.25">
      <c r="A206" s="13"/>
      <c r="B206" s="13" t="str">
        <f t="shared" ca="1" si="157"/>
        <v>Josh</v>
      </c>
      <c r="C206" s="13" t="str">
        <f t="shared" ca="1" si="158"/>
        <v>Elena</v>
      </c>
      <c r="D206" s="13" t="str">
        <f t="shared" ca="1" si="159"/>
        <v/>
      </c>
      <c r="E206" s="13" t="str">
        <f t="shared" ca="1" si="160"/>
        <v>Cody</v>
      </c>
      <c r="F206" s="13" t="str">
        <f t="shared" ca="1" si="161"/>
        <v>Jillian</v>
      </c>
      <c r="G206" s="13" t="str">
        <f t="shared" ca="1" si="162"/>
        <v>Ramses</v>
      </c>
      <c r="H206" s="13" t="str">
        <f t="shared" ca="1" si="163"/>
        <v/>
      </c>
      <c r="I206" s="13" t="str">
        <f t="shared" ca="1" si="164"/>
        <v>Raven</v>
      </c>
      <c r="J206" s="13" t="str">
        <f t="shared" ca="1" si="165"/>
        <v>Mark</v>
      </c>
      <c r="K206" s="13" t="str">
        <f t="shared" ca="1" si="166"/>
        <v>Alex</v>
      </c>
      <c r="L206" s="13" t="str">
        <f t="shared" ca="1" si="167"/>
        <v>Raven</v>
      </c>
      <c r="M206" s="13" t="str">
        <f t="shared" ca="1" si="168"/>
        <v>Cameron</v>
      </c>
      <c r="N206" s="13" t="str">
        <f t="shared" ca="1" si="169"/>
        <v/>
      </c>
      <c r="O206" s="13" t="str">
        <f t="shared" ca="1" si="170"/>
        <v>Alex</v>
      </c>
      <c r="P206" s="13" t="str">
        <f t="shared" ca="1" si="171"/>
        <v>Cameron</v>
      </c>
      <c r="Q206" s="13" t="str">
        <f t="shared" ca="1" si="172"/>
        <v>Mark</v>
      </c>
      <c r="R206" s="13" t="str">
        <f t="shared" ca="1" si="173"/>
        <v>Jessica</v>
      </c>
      <c r="S206" s="13"/>
      <c r="T206" s="13"/>
      <c r="U206" s="13"/>
      <c r="V206" s="13"/>
    </row>
    <row r="207" spans="1:22" x14ac:dyDescent="0.25">
      <c r="A207" s="13"/>
      <c r="B207" s="13" t="str">
        <f t="shared" ca="1" si="157"/>
        <v>Matt</v>
      </c>
      <c r="C207" s="13" t="str">
        <f t="shared" ca="1" si="158"/>
        <v>Cody</v>
      </c>
      <c r="D207" s="13" t="str">
        <f t="shared" ca="1" si="159"/>
        <v/>
      </c>
      <c r="E207" s="13" t="str">
        <f t="shared" ca="1" si="160"/>
        <v>Raven</v>
      </c>
      <c r="F207" s="13" t="str">
        <f t="shared" ca="1" si="161"/>
        <v>Raven</v>
      </c>
      <c r="G207" s="13" t="str">
        <f t="shared" ca="1" si="162"/>
        <v>Josh</v>
      </c>
      <c r="H207" s="13" t="str">
        <f t="shared" ca="1" si="163"/>
        <v/>
      </c>
      <c r="I207" s="13" t="str">
        <f t="shared" ca="1" si="164"/>
        <v>Mark</v>
      </c>
      <c r="J207" s="13" t="str">
        <f t="shared" ca="1" si="165"/>
        <v>Raven</v>
      </c>
      <c r="K207" s="13" t="str">
        <f t="shared" ca="1" si="166"/>
        <v>Megan</v>
      </c>
      <c r="L207" s="13" t="str">
        <f t="shared" ca="1" si="167"/>
        <v>Christmas</v>
      </c>
      <c r="M207" s="13" t="str">
        <f t="shared" ca="1" si="168"/>
        <v>Ramses</v>
      </c>
      <c r="N207" s="13" t="str">
        <f t="shared" ca="1" si="169"/>
        <v/>
      </c>
      <c r="O207" s="13" t="str">
        <f t="shared" ca="1" si="170"/>
        <v>Megan</v>
      </c>
      <c r="P207" s="13" t="str">
        <f t="shared" ca="1" si="171"/>
        <v>Josh</v>
      </c>
      <c r="Q207" s="13" t="str">
        <f t="shared" ca="1" si="172"/>
        <v>Jason</v>
      </c>
      <c r="R207" s="13" t="str">
        <f t="shared" ca="1" si="173"/>
        <v>Raven</v>
      </c>
      <c r="S207" s="13"/>
      <c r="T207" s="13"/>
      <c r="U207" s="13"/>
      <c r="V207" s="13"/>
    </row>
    <row r="208" spans="1:22" x14ac:dyDescent="0.25">
      <c r="A208" s="13"/>
      <c r="B208" s="13" t="str">
        <f t="shared" ca="1" si="157"/>
        <v>Mark</v>
      </c>
      <c r="C208" s="13" t="str">
        <f t="shared" ca="1" si="158"/>
        <v>Cameron</v>
      </c>
      <c r="D208" s="13" t="str">
        <f t="shared" ca="1" si="159"/>
        <v/>
      </c>
      <c r="E208" s="13" t="str">
        <f t="shared" ca="1" si="160"/>
        <v>Mark</v>
      </c>
      <c r="F208" s="13" t="str">
        <f t="shared" ca="1" si="161"/>
        <v>Elena</v>
      </c>
      <c r="G208" s="13" t="str">
        <f t="shared" ca="1" si="162"/>
        <v>Raven</v>
      </c>
      <c r="H208" s="13" t="str">
        <f t="shared" ca="1" si="163"/>
        <v/>
      </c>
      <c r="I208" s="13" t="str">
        <f t="shared" ca="1" si="164"/>
        <v>Christmas</v>
      </c>
      <c r="J208" s="13" t="str">
        <f t="shared" ca="1" si="165"/>
        <v>Jessica</v>
      </c>
      <c r="K208" s="13" t="str">
        <f t="shared" ca="1" si="166"/>
        <v>Josh</v>
      </c>
      <c r="L208" s="13" t="str">
        <f t="shared" ca="1" si="167"/>
        <v>Cameron</v>
      </c>
      <c r="M208" s="13" t="str">
        <f t="shared" ca="1" si="168"/>
        <v>Matt</v>
      </c>
      <c r="N208" s="13" t="str">
        <f t="shared" ca="1" si="169"/>
        <v/>
      </c>
      <c r="O208" s="13" t="str">
        <f t="shared" ca="1" si="170"/>
        <v>Ramses</v>
      </c>
      <c r="P208" s="13" t="str">
        <f t="shared" ca="1" si="171"/>
        <v>Megan</v>
      </c>
      <c r="Q208" s="13" t="str">
        <f t="shared" ca="1" si="172"/>
        <v>Elena</v>
      </c>
      <c r="R208" s="13" t="str">
        <f t="shared" ca="1" si="173"/>
        <v>Cody</v>
      </c>
      <c r="S208" s="13"/>
      <c r="T208" s="13"/>
      <c r="U208" s="13"/>
      <c r="V208" s="13"/>
    </row>
    <row r="209" spans="1:22" x14ac:dyDescent="0.25">
      <c r="A209" s="13"/>
      <c r="B209" s="13" t="str">
        <f t="shared" ca="1" si="157"/>
        <v>Megan</v>
      </c>
      <c r="C209" s="13" t="str">
        <f t="shared" ca="1" si="158"/>
        <v>Jason</v>
      </c>
      <c r="D209" s="13" t="str">
        <f t="shared" ca="1" si="159"/>
        <v/>
      </c>
      <c r="E209" s="13" t="str">
        <f t="shared" ca="1" si="160"/>
        <v>Christmas</v>
      </c>
      <c r="F209" s="13" t="str">
        <f t="shared" ca="1" si="161"/>
        <v>Alex</v>
      </c>
      <c r="G209" s="13" t="str">
        <f t="shared" ca="1" si="162"/>
        <v>Megan</v>
      </c>
      <c r="H209" s="13" t="str">
        <f t="shared" ca="1" si="163"/>
        <v/>
      </c>
      <c r="I209" s="13" t="str">
        <f t="shared" ca="1" si="164"/>
        <v>Elena</v>
      </c>
      <c r="J209" s="13" t="str">
        <f t="shared" ca="1" si="165"/>
        <v>Matt</v>
      </c>
      <c r="K209" s="13" t="str">
        <f t="shared" ca="1" si="166"/>
        <v>Jillian</v>
      </c>
      <c r="L209" s="13" t="str">
        <f t="shared" ca="1" si="167"/>
        <v>Ramses</v>
      </c>
      <c r="M209" s="13" t="str">
        <f t="shared" ca="1" si="168"/>
        <v>Josh</v>
      </c>
      <c r="N209" s="13" t="str">
        <f t="shared" ca="1" si="169"/>
        <v/>
      </c>
      <c r="O209" s="13" t="str">
        <f t="shared" ca="1" si="170"/>
        <v>Christmas</v>
      </c>
      <c r="P209" s="13" t="str">
        <f t="shared" ca="1" si="171"/>
        <v>Cody</v>
      </c>
      <c r="Q209" s="13" t="str">
        <f t="shared" ca="1" si="172"/>
        <v>Ramses</v>
      </c>
      <c r="R209" s="13" t="str">
        <f t="shared" ca="1" si="173"/>
        <v>Matt</v>
      </c>
      <c r="S209" s="13"/>
      <c r="T209" s="13"/>
      <c r="U209" s="13"/>
      <c r="V209" s="13"/>
    </row>
    <row r="210" spans="1:2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x14ac:dyDescent="0.25">
      <c r="A211" s="13" t="str">
        <f ca="1">IF(Game!C640="",Game!I643,"")</f>
        <v/>
      </c>
      <c r="B211" s="13" t="str">
        <f t="shared" ref="B211:R211" ca="1" si="174">IF(B196=$A211,"",B196)</f>
        <v>Raven</v>
      </c>
      <c r="C211" s="13" t="str">
        <f t="shared" ca="1" si="174"/>
        <v>Ramses</v>
      </c>
      <c r="D211" s="13" t="str">
        <f t="shared" ca="1" si="174"/>
        <v/>
      </c>
      <c r="E211" s="13" t="str">
        <f t="shared" ca="1" si="174"/>
        <v>Megan</v>
      </c>
      <c r="F211" s="13" t="str">
        <f t="shared" ca="1" si="174"/>
        <v>Matt</v>
      </c>
      <c r="G211" s="13" t="str">
        <f t="shared" ca="1" si="174"/>
        <v>Mark</v>
      </c>
      <c r="H211" s="13" t="str">
        <f t="shared" ca="1" si="174"/>
        <v/>
      </c>
      <c r="I211" s="13" t="str">
        <f t="shared" ca="1" si="174"/>
        <v>Josh</v>
      </c>
      <c r="J211" s="13" t="str">
        <f t="shared" ca="1" si="174"/>
        <v>Jillian</v>
      </c>
      <c r="K211" s="13" t="str">
        <f t="shared" ca="1" si="174"/>
        <v>Jessica</v>
      </c>
      <c r="L211" s="13" t="str">
        <f t="shared" ca="1" si="174"/>
        <v>Jason</v>
      </c>
      <c r="M211" s="13" t="str">
        <f t="shared" ca="1" si="174"/>
        <v>Elena</v>
      </c>
      <c r="N211" s="13" t="str">
        <f t="shared" ca="1" si="174"/>
        <v/>
      </c>
      <c r="O211" s="13" t="str">
        <f t="shared" ca="1" si="174"/>
        <v>Cody</v>
      </c>
      <c r="P211" s="13" t="str">
        <f t="shared" ca="1" si="174"/>
        <v>Christmas</v>
      </c>
      <c r="Q211" s="13" t="str">
        <f t="shared" ca="1" si="174"/>
        <v>Cameron</v>
      </c>
      <c r="R211" s="13" t="str">
        <f t="shared" ca="1" si="174"/>
        <v>Alex</v>
      </c>
      <c r="S211" s="13"/>
      <c r="T211" s="13"/>
      <c r="U211" s="13"/>
      <c r="V211" s="13"/>
    </row>
    <row r="212" spans="1:22" x14ac:dyDescent="0.25">
      <c r="A212" s="13"/>
      <c r="B212" s="13" t="str">
        <f t="shared" ref="B212:R212" ca="1" si="175">IF(B211="","",IF(B197=$A$211,B198,B197))</f>
        <v>Jessica</v>
      </c>
      <c r="C212" s="13" t="str">
        <f t="shared" ca="1" si="175"/>
        <v>Christmas</v>
      </c>
      <c r="D212" s="13" t="str">
        <f t="shared" ca="1" si="175"/>
        <v/>
      </c>
      <c r="E212" s="13" t="str">
        <f t="shared" ca="1" si="175"/>
        <v>Jason</v>
      </c>
      <c r="F212" s="13" t="str">
        <f t="shared" ca="1" si="175"/>
        <v>Christmas</v>
      </c>
      <c r="G212" s="13" t="str">
        <f t="shared" ca="1" si="175"/>
        <v>Alex</v>
      </c>
      <c r="H212" s="13" t="str">
        <f t="shared" ca="1" si="175"/>
        <v/>
      </c>
      <c r="I212" s="13" t="str">
        <f t="shared" ca="1" si="175"/>
        <v>Ramses</v>
      </c>
      <c r="J212" s="13" t="str">
        <f t="shared" ca="1" si="175"/>
        <v>Ramses</v>
      </c>
      <c r="K212" s="13" t="str">
        <f t="shared" ca="1" si="175"/>
        <v>Raven</v>
      </c>
      <c r="L212" s="13" t="str">
        <f t="shared" ca="1" si="175"/>
        <v>Matt</v>
      </c>
      <c r="M212" s="13" t="str">
        <f t="shared" ca="1" si="175"/>
        <v>Cody</v>
      </c>
      <c r="N212" s="13" t="str">
        <f t="shared" ca="1" si="175"/>
        <v/>
      </c>
      <c r="O212" s="13" t="str">
        <f t="shared" ca="1" si="175"/>
        <v>Elena</v>
      </c>
      <c r="P212" s="13" t="str">
        <f t="shared" ca="1" si="175"/>
        <v>Matt</v>
      </c>
      <c r="Q212" s="13" t="str">
        <f t="shared" ca="1" si="175"/>
        <v>Alex</v>
      </c>
      <c r="R212" s="13" t="str">
        <f t="shared" ca="1" si="175"/>
        <v>Mark</v>
      </c>
      <c r="S212" s="13"/>
      <c r="T212" s="13"/>
      <c r="U212" s="13"/>
      <c r="V212" s="13"/>
    </row>
    <row r="213" spans="1:22" x14ac:dyDescent="0.25">
      <c r="A213" s="13"/>
      <c r="B213" s="13" t="str">
        <f t="shared" ref="B213:B223" ca="1" si="176">IF(B212="","",IF(B212=B198,B199,IF(B198=$A$211,B199,B198)))</f>
        <v>Cody</v>
      </c>
      <c r="C213" s="13" t="str">
        <f t="shared" ref="C213:C223" ca="1" si="177">IF(C212="","",IF(C212=C198,C199,IF(C198=$A$211,C199,C198)))</f>
        <v>Josh</v>
      </c>
      <c r="D213" s="13" t="str">
        <f t="shared" ref="D213:D223" ca="1" si="178">IF(D212="","",IF(D212=D198,D199,IF(D198=$A$211,D199,D198)))</f>
        <v/>
      </c>
      <c r="E213" s="13" t="str">
        <f t="shared" ref="E213:E223" ca="1" si="179">IF(E212="","",IF(E212=E198,E199,IF(E198=$A$211,E199,E198)))</f>
        <v>Matt</v>
      </c>
      <c r="F213" s="13" t="str">
        <f t="shared" ref="F213:F223" ca="1" si="180">IF(F212="","",IF(F212=F198,F199,IF(F198=$A$211,F199,F198)))</f>
        <v>Jason</v>
      </c>
      <c r="G213" s="13" t="str">
        <f t="shared" ref="G213:G223" ca="1" si="181">IF(G212="","",IF(G212=G198,G199,IF(G198=$A$211,G199,G198)))</f>
        <v>Christmas</v>
      </c>
      <c r="H213" s="13" t="str">
        <f t="shared" ref="H213:H223" ca="1" si="182">IF(H212="","",IF(H212=H198,H199,IF(H198=$A$211,H199,H198)))</f>
        <v/>
      </c>
      <c r="I213" s="13" t="str">
        <f t="shared" ref="I213:I223" ca="1" si="183">IF(I212="","",IF(I212=I198,I199,IF(I198=$A$211,I199,I198)))</f>
        <v>Matt</v>
      </c>
      <c r="J213" s="13" t="str">
        <f t="shared" ref="J213:J223" ca="1" si="184">IF(J212="","",IF(J212=J198,J199,IF(J198=$A$211,J199,J198)))</f>
        <v>Jason</v>
      </c>
      <c r="K213" s="13" t="str">
        <f t="shared" ref="K213:K223" ca="1" si="185">IF(K212="","",IF(K212=K198,K199,IF(K198=$A$211,K199,K198)))</f>
        <v>Elena</v>
      </c>
      <c r="L213" s="13" t="str">
        <f t="shared" ref="L213:L223" ca="1" si="186">IF(L212="","",IF(L212=L198,L199,IF(L198=$A$211,L199,L198)))</f>
        <v>Megan</v>
      </c>
      <c r="M213" s="13" t="str">
        <f t="shared" ref="M213:M223" ca="1" si="187">IF(M212="","",IF(M212=M198,M199,IF(M198=$A$211,M199,M198)))</f>
        <v>Alex</v>
      </c>
      <c r="N213" s="13" t="str">
        <f t="shared" ref="N213:N223" ca="1" si="188">IF(N212="","",IF(N212=N198,N199,IF(N198=$A$211,N199,N198)))</f>
        <v/>
      </c>
      <c r="O213" s="13" t="str">
        <f t="shared" ref="O213:O223" ca="1" si="189">IF(O212="","",IF(O212=O198,O199,IF(O198=$A$211,O199,O198)))</f>
        <v>Matt</v>
      </c>
      <c r="P213" s="13" t="str">
        <f t="shared" ref="P213:P223" ca="1" si="190">IF(P212="","",IF(P212=P198,P199,IF(P198=$A$211,P199,P198)))</f>
        <v>Ramses</v>
      </c>
      <c r="Q213" s="13" t="str">
        <f t="shared" ref="Q213:Q223" ca="1" si="191">IF(Q212="","",IF(Q212=Q198,Q199,IF(Q198=$A$211,Q199,Q198)))</f>
        <v>Cody</v>
      </c>
      <c r="R213" s="13" t="str">
        <f t="shared" ref="R213:R223" ca="1" si="192">IF(R212="","",IF(R212=R198,R199,IF(R198=$A$211,R199,R198)))</f>
        <v>Cameron</v>
      </c>
      <c r="S213" s="13"/>
      <c r="T213" s="13"/>
      <c r="U213" s="13"/>
      <c r="V213" s="13"/>
    </row>
    <row r="214" spans="1:22" x14ac:dyDescent="0.25">
      <c r="A214" s="13"/>
      <c r="B214" s="13" t="str">
        <f t="shared" ca="1" si="176"/>
        <v>Ramses</v>
      </c>
      <c r="C214" s="13" t="str">
        <f t="shared" ca="1" si="177"/>
        <v>Jillian</v>
      </c>
      <c r="D214" s="13" t="str">
        <f t="shared" ca="1" si="178"/>
        <v/>
      </c>
      <c r="E214" s="13" t="str">
        <f t="shared" ca="1" si="179"/>
        <v>Jillian</v>
      </c>
      <c r="F214" s="13" t="str">
        <f t="shared" ca="1" si="180"/>
        <v>Cody</v>
      </c>
      <c r="G214" s="13" t="str">
        <f t="shared" ca="1" si="181"/>
        <v>Jessica</v>
      </c>
      <c r="H214" s="13" t="str">
        <f t="shared" ca="1" si="182"/>
        <v/>
      </c>
      <c r="I214" s="13" t="str">
        <f t="shared" ca="1" si="183"/>
        <v>Cody</v>
      </c>
      <c r="J214" s="13" t="str">
        <f t="shared" ca="1" si="184"/>
        <v>Megan</v>
      </c>
      <c r="K214" s="13" t="str">
        <f t="shared" ca="1" si="185"/>
        <v>Christmas</v>
      </c>
      <c r="L214" s="13" t="str">
        <f t="shared" ca="1" si="186"/>
        <v>Jillian</v>
      </c>
      <c r="M214" s="13" t="str">
        <f t="shared" ca="1" si="187"/>
        <v>Jessica</v>
      </c>
      <c r="N214" s="13" t="str">
        <f t="shared" ca="1" si="188"/>
        <v/>
      </c>
      <c r="O214" s="13" t="str">
        <f t="shared" ca="1" si="189"/>
        <v>Raven</v>
      </c>
      <c r="P214" s="13" t="str">
        <f t="shared" ca="1" si="190"/>
        <v>Mark</v>
      </c>
      <c r="Q214" s="13" t="str">
        <f t="shared" ca="1" si="191"/>
        <v>Matt</v>
      </c>
      <c r="R214" s="13" t="str">
        <f t="shared" ca="1" si="192"/>
        <v>Elena</v>
      </c>
      <c r="S214" s="13"/>
      <c r="T214" s="13"/>
      <c r="U214" s="13"/>
      <c r="V214" s="13"/>
    </row>
    <row r="215" spans="1:22" x14ac:dyDescent="0.25">
      <c r="A215" s="13"/>
      <c r="B215" s="13" t="str">
        <f t="shared" ca="1" si="176"/>
        <v>Elena</v>
      </c>
      <c r="C215" s="13" t="str">
        <f t="shared" ca="1" si="177"/>
        <v>Raven</v>
      </c>
      <c r="D215" s="13" t="str">
        <f t="shared" ca="1" si="178"/>
        <v/>
      </c>
      <c r="E215" s="13" t="str">
        <f t="shared" ca="1" si="179"/>
        <v>Cameron</v>
      </c>
      <c r="F215" s="13" t="str">
        <f t="shared" ca="1" si="180"/>
        <v>Megan</v>
      </c>
      <c r="G215" s="13" t="str">
        <f t="shared" ca="1" si="181"/>
        <v>Jason</v>
      </c>
      <c r="H215" s="13" t="str">
        <f t="shared" ca="1" si="182"/>
        <v/>
      </c>
      <c r="I215" s="13" t="str">
        <f t="shared" ca="1" si="183"/>
        <v>Alex</v>
      </c>
      <c r="J215" s="13" t="str">
        <f t="shared" ca="1" si="184"/>
        <v>Cameron</v>
      </c>
      <c r="K215" s="13" t="str">
        <f t="shared" ca="1" si="185"/>
        <v>Mark</v>
      </c>
      <c r="L215" s="13" t="str">
        <f t="shared" ca="1" si="186"/>
        <v>Alex</v>
      </c>
      <c r="M215" s="13" t="str">
        <f t="shared" ca="1" si="187"/>
        <v>Christmas</v>
      </c>
      <c r="N215" s="13" t="str">
        <f t="shared" ca="1" si="188"/>
        <v/>
      </c>
      <c r="O215" s="13" t="str">
        <f t="shared" ca="1" si="189"/>
        <v>Cameron</v>
      </c>
      <c r="P215" s="13" t="str">
        <f t="shared" ca="1" si="190"/>
        <v>Jessica</v>
      </c>
      <c r="Q215" s="13" t="str">
        <f t="shared" ca="1" si="191"/>
        <v>Jillian</v>
      </c>
      <c r="R215" s="13" t="str">
        <f t="shared" ca="1" si="192"/>
        <v>Jason</v>
      </c>
      <c r="S215" s="13"/>
      <c r="T215" s="13"/>
      <c r="U215" s="13"/>
      <c r="V215" s="13"/>
    </row>
    <row r="216" spans="1:22" x14ac:dyDescent="0.25">
      <c r="A216" s="13"/>
      <c r="B216" s="13" t="str">
        <f t="shared" ca="1" si="176"/>
        <v>Christmas</v>
      </c>
      <c r="C216" s="13" t="str">
        <f t="shared" ca="1" si="177"/>
        <v>Megan</v>
      </c>
      <c r="D216" s="13" t="str">
        <f t="shared" ca="1" si="178"/>
        <v/>
      </c>
      <c r="E216" s="13" t="str">
        <f t="shared" ca="1" si="179"/>
        <v>Ramses</v>
      </c>
      <c r="F216" s="13" t="str">
        <f t="shared" ca="1" si="180"/>
        <v>Cameron</v>
      </c>
      <c r="G216" s="13" t="str">
        <f t="shared" ca="1" si="181"/>
        <v>Jillian</v>
      </c>
      <c r="H216" s="13" t="str">
        <f t="shared" ca="1" si="182"/>
        <v/>
      </c>
      <c r="I216" s="13" t="str">
        <f t="shared" ca="1" si="183"/>
        <v>Jillian</v>
      </c>
      <c r="J216" s="13" t="str">
        <f t="shared" ca="1" si="184"/>
        <v>Elena</v>
      </c>
      <c r="K216" s="13" t="str">
        <f t="shared" ca="1" si="185"/>
        <v>Ramses</v>
      </c>
      <c r="L216" s="13" t="str">
        <f t="shared" ca="1" si="186"/>
        <v>Jessica</v>
      </c>
      <c r="M216" s="13" t="str">
        <f t="shared" ca="1" si="187"/>
        <v>Jillian</v>
      </c>
      <c r="N216" s="13" t="str">
        <f t="shared" ca="1" si="188"/>
        <v/>
      </c>
      <c r="O216" s="13" t="str">
        <f t="shared" ca="1" si="189"/>
        <v>Josh</v>
      </c>
      <c r="P216" s="13" t="str">
        <f t="shared" ca="1" si="190"/>
        <v>Elena</v>
      </c>
      <c r="Q216" s="13" t="str">
        <f t="shared" ca="1" si="191"/>
        <v>Megan</v>
      </c>
      <c r="R216" s="13" t="str">
        <f t="shared" ca="1" si="192"/>
        <v>Jillian</v>
      </c>
      <c r="S216" s="13"/>
      <c r="T216" s="13"/>
      <c r="U216" s="13"/>
      <c r="V216" s="13"/>
    </row>
    <row r="217" spans="1:22" x14ac:dyDescent="0.25">
      <c r="A217" s="13"/>
      <c r="B217" s="13" t="str">
        <f t="shared" ca="1" si="176"/>
        <v>Cameron</v>
      </c>
      <c r="C217" s="13" t="str">
        <f t="shared" ca="1" si="177"/>
        <v>Jessica</v>
      </c>
      <c r="D217" s="13" t="str">
        <f t="shared" ca="1" si="178"/>
        <v/>
      </c>
      <c r="E217" s="13" t="str">
        <f t="shared" ca="1" si="179"/>
        <v>Alex</v>
      </c>
      <c r="F217" s="13" t="str">
        <f t="shared" ca="1" si="180"/>
        <v>Josh</v>
      </c>
      <c r="G217" s="13" t="str">
        <f t="shared" ca="1" si="181"/>
        <v>Elena</v>
      </c>
      <c r="H217" s="13" t="str">
        <f t="shared" ca="1" si="182"/>
        <v/>
      </c>
      <c r="I217" s="13" t="str">
        <f t="shared" ca="1" si="183"/>
        <v>Cameron</v>
      </c>
      <c r="J217" s="13" t="str">
        <f t="shared" ca="1" si="184"/>
        <v>Alex</v>
      </c>
      <c r="K217" s="13" t="str">
        <f t="shared" ca="1" si="185"/>
        <v>Jason</v>
      </c>
      <c r="L217" s="13" t="str">
        <f t="shared" ca="1" si="186"/>
        <v>Mark</v>
      </c>
      <c r="M217" s="13" t="str">
        <f t="shared" ca="1" si="187"/>
        <v>Raven</v>
      </c>
      <c r="N217" s="13" t="str">
        <f t="shared" ca="1" si="188"/>
        <v/>
      </c>
      <c r="O217" s="13" t="str">
        <f t="shared" ca="1" si="189"/>
        <v>Jillian</v>
      </c>
      <c r="P217" s="13" t="str">
        <f t="shared" ca="1" si="190"/>
        <v>Raven</v>
      </c>
      <c r="Q217" s="13" t="str">
        <f t="shared" ca="1" si="191"/>
        <v>Raven</v>
      </c>
      <c r="R217" s="13" t="str">
        <f t="shared" ca="1" si="192"/>
        <v>Megan</v>
      </c>
      <c r="S217" s="13"/>
      <c r="T217" s="13"/>
      <c r="U217" s="13"/>
      <c r="V217" s="13"/>
    </row>
    <row r="218" spans="1:22" x14ac:dyDescent="0.25">
      <c r="A218" s="13"/>
      <c r="B218" s="13" t="str">
        <f t="shared" ca="1" si="176"/>
        <v>Alex</v>
      </c>
      <c r="C218" s="13" t="str">
        <f t="shared" ca="1" si="177"/>
        <v>Matt</v>
      </c>
      <c r="D218" s="13" t="str">
        <f t="shared" ca="1" si="178"/>
        <v/>
      </c>
      <c r="E218" s="13" t="str">
        <f t="shared" ca="1" si="179"/>
        <v>Josh</v>
      </c>
      <c r="F218" s="13" t="str">
        <f t="shared" ca="1" si="180"/>
        <v>Ramses</v>
      </c>
      <c r="G218" s="13" t="str">
        <f t="shared" ca="1" si="181"/>
        <v>Cody</v>
      </c>
      <c r="H218" s="13" t="str">
        <f t="shared" ca="1" si="182"/>
        <v/>
      </c>
      <c r="I218" s="13" t="str">
        <f t="shared" ca="1" si="183"/>
        <v>Megan</v>
      </c>
      <c r="J218" s="13" t="str">
        <f t="shared" ca="1" si="184"/>
        <v>Cody</v>
      </c>
      <c r="K218" s="13" t="str">
        <f t="shared" ca="1" si="185"/>
        <v>Cody</v>
      </c>
      <c r="L218" s="13" t="str">
        <f t="shared" ca="1" si="186"/>
        <v>Cody</v>
      </c>
      <c r="M218" s="13" t="str">
        <f t="shared" ca="1" si="187"/>
        <v>Mark</v>
      </c>
      <c r="N218" s="13" t="str">
        <f t="shared" ca="1" si="188"/>
        <v/>
      </c>
      <c r="O218" s="13" t="str">
        <f t="shared" ca="1" si="189"/>
        <v>Jessica</v>
      </c>
      <c r="P218" s="13" t="str">
        <f t="shared" ca="1" si="190"/>
        <v>Jillian</v>
      </c>
      <c r="Q218" s="13" t="str">
        <f t="shared" ca="1" si="191"/>
        <v>Jessica</v>
      </c>
      <c r="R218" s="13" t="str">
        <f t="shared" ca="1" si="192"/>
        <v>Ramses</v>
      </c>
      <c r="S218" s="13"/>
      <c r="T218" s="13"/>
      <c r="U218" s="13"/>
      <c r="V218" s="13"/>
    </row>
    <row r="219" spans="1:22" x14ac:dyDescent="0.25">
      <c r="A219" s="13"/>
      <c r="B219" s="13" t="str">
        <f t="shared" ca="1" si="176"/>
        <v>Jason</v>
      </c>
      <c r="C219" s="13" t="str">
        <f t="shared" ca="1" si="177"/>
        <v>Alex</v>
      </c>
      <c r="D219" s="13" t="str">
        <f t="shared" ca="1" si="178"/>
        <v/>
      </c>
      <c r="E219" s="13" t="str">
        <f t="shared" ca="1" si="179"/>
        <v>Jessica</v>
      </c>
      <c r="F219" s="13" t="str">
        <f t="shared" ca="1" si="180"/>
        <v>Jessica</v>
      </c>
      <c r="G219" s="13" t="str">
        <f t="shared" ca="1" si="181"/>
        <v>Matt</v>
      </c>
      <c r="H219" s="13" t="str">
        <f t="shared" ca="1" si="182"/>
        <v/>
      </c>
      <c r="I219" s="13" t="str">
        <f t="shared" ca="1" si="183"/>
        <v>Jason</v>
      </c>
      <c r="J219" s="13" t="str">
        <f t="shared" ca="1" si="184"/>
        <v>Christmas</v>
      </c>
      <c r="K219" s="13" t="str">
        <f t="shared" ca="1" si="185"/>
        <v>Cameron</v>
      </c>
      <c r="L219" s="13" t="str">
        <f t="shared" ca="1" si="186"/>
        <v>Josh</v>
      </c>
      <c r="M219" s="13" t="str">
        <f t="shared" ca="1" si="187"/>
        <v>Jason</v>
      </c>
      <c r="N219" s="13" t="str">
        <f t="shared" ca="1" si="188"/>
        <v/>
      </c>
      <c r="O219" s="13" t="str">
        <f t="shared" ca="1" si="189"/>
        <v>Jason</v>
      </c>
      <c r="P219" s="13" t="str">
        <f t="shared" ca="1" si="190"/>
        <v>Alex</v>
      </c>
      <c r="Q219" s="13" t="str">
        <f t="shared" ca="1" si="191"/>
        <v>Josh</v>
      </c>
      <c r="R219" s="13" t="str">
        <f t="shared" ca="1" si="192"/>
        <v>Josh</v>
      </c>
      <c r="S219" s="13"/>
      <c r="T219" s="13"/>
      <c r="U219" s="13"/>
      <c r="V219" s="13"/>
    </row>
    <row r="220" spans="1:22" x14ac:dyDescent="0.25">
      <c r="A220" s="13"/>
      <c r="B220" s="13" t="str">
        <f t="shared" ca="1" si="176"/>
        <v>Jillian</v>
      </c>
      <c r="C220" s="13" t="str">
        <f t="shared" ca="1" si="177"/>
        <v>Mark</v>
      </c>
      <c r="D220" s="13" t="str">
        <f t="shared" ca="1" si="178"/>
        <v/>
      </c>
      <c r="E220" s="13" t="str">
        <f t="shared" ca="1" si="179"/>
        <v>Elena</v>
      </c>
      <c r="F220" s="13" t="str">
        <f t="shared" ca="1" si="180"/>
        <v>Mark</v>
      </c>
      <c r="G220" s="13" t="str">
        <f t="shared" ca="1" si="181"/>
        <v>Cameron</v>
      </c>
      <c r="H220" s="13" t="str">
        <f t="shared" ca="1" si="182"/>
        <v/>
      </c>
      <c r="I220" s="13" t="str">
        <f t="shared" ca="1" si="183"/>
        <v>Jessica</v>
      </c>
      <c r="J220" s="13" t="str">
        <f t="shared" ca="1" si="184"/>
        <v>Josh</v>
      </c>
      <c r="K220" s="13" t="str">
        <f t="shared" ca="1" si="185"/>
        <v>Matt</v>
      </c>
      <c r="L220" s="13" t="str">
        <f t="shared" ca="1" si="186"/>
        <v>Elena</v>
      </c>
      <c r="M220" s="13" t="str">
        <f t="shared" ca="1" si="187"/>
        <v>Megan</v>
      </c>
      <c r="N220" s="13" t="str">
        <f t="shared" ca="1" si="188"/>
        <v/>
      </c>
      <c r="O220" s="13" t="str">
        <f t="shared" ca="1" si="189"/>
        <v>Mark</v>
      </c>
      <c r="P220" s="13" t="str">
        <f t="shared" ca="1" si="190"/>
        <v>Jason</v>
      </c>
      <c r="Q220" s="13" t="str">
        <f t="shared" ca="1" si="191"/>
        <v>Christmas</v>
      </c>
      <c r="R220" s="13" t="str">
        <f t="shared" ca="1" si="192"/>
        <v>Christmas</v>
      </c>
      <c r="S220" s="13"/>
      <c r="T220" s="13"/>
      <c r="U220" s="13"/>
      <c r="V220" s="13"/>
    </row>
    <row r="221" spans="1:22" x14ac:dyDescent="0.25">
      <c r="A221" s="13"/>
      <c r="B221" s="13" t="str">
        <f t="shared" ca="1" si="176"/>
        <v>Josh</v>
      </c>
      <c r="C221" s="13" t="str">
        <f t="shared" ca="1" si="177"/>
        <v>Elena</v>
      </c>
      <c r="D221" s="13" t="str">
        <f t="shared" ca="1" si="178"/>
        <v/>
      </c>
      <c r="E221" s="13" t="str">
        <f t="shared" ca="1" si="179"/>
        <v>Cody</v>
      </c>
      <c r="F221" s="13" t="str">
        <f t="shared" ca="1" si="180"/>
        <v>Jillian</v>
      </c>
      <c r="G221" s="13" t="str">
        <f t="shared" ca="1" si="181"/>
        <v>Ramses</v>
      </c>
      <c r="H221" s="13" t="str">
        <f t="shared" ca="1" si="182"/>
        <v/>
      </c>
      <c r="I221" s="13" t="str">
        <f t="shared" ca="1" si="183"/>
        <v>Raven</v>
      </c>
      <c r="J221" s="13" t="str">
        <f t="shared" ca="1" si="184"/>
        <v>Mark</v>
      </c>
      <c r="K221" s="13" t="str">
        <f t="shared" ca="1" si="185"/>
        <v>Alex</v>
      </c>
      <c r="L221" s="13" t="str">
        <f t="shared" ca="1" si="186"/>
        <v>Raven</v>
      </c>
      <c r="M221" s="13" t="str">
        <f t="shared" ca="1" si="187"/>
        <v>Cameron</v>
      </c>
      <c r="N221" s="13" t="str">
        <f t="shared" ca="1" si="188"/>
        <v/>
      </c>
      <c r="O221" s="13" t="str">
        <f t="shared" ca="1" si="189"/>
        <v>Alex</v>
      </c>
      <c r="P221" s="13" t="str">
        <f t="shared" ca="1" si="190"/>
        <v>Cameron</v>
      </c>
      <c r="Q221" s="13" t="str">
        <f t="shared" ca="1" si="191"/>
        <v>Mark</v>
      </c>
      <c r="R221" s="13" t="str">
        <f t="shared" ca="1" si="192"/>
        <v>Jessica</v>
      </c>
      <c r="S221" s="13"/>
      <c r="T221" s="13"/>
      <c r="U221" s="13"/>
      <c r="V221" s="13"/>
    </row>
    <row r="222" spans="1:22" x14ac:dyDescent="0.25">
      <c r="A222" s="13"/>
      <c r="B222" s="13" t="str">
        <f t="shared" ca="1" si="176"/>
        <v>Matt</v>
      </c>
      <c r="C222" s="13" t="str">
        <f t="shared" ca="1" si="177"/>
        <v>Cody</v>
      </c>
      <c r="D222" s="13" t="str">
        <f t="shared" ca="1" si="178"/>
        <v/>
      </c>
      <c r="E222" s="13" t="str">
        <f t="shared" ca="1" si="179"/>
        <v>Raven</v>
      </c>
      <c r="F222" s="13" t="str">
        <f t="shared" ca="1" si="180"/>
        <v>Raven</v>
      </c>
      <c r="G222" s="13" t="str">
        <f t="shared" ca="1" si="181"/>
        <v>Josh</v>
      </c>
      <c r="H222" s="13" t="str">
        <f t="shared" ca="1" si="182"/>
        <v/>
      </c>
      <c r="I222" s="13" t="str">
        <f t="shared" ca="1" si="183"/>
        <v>Mark</v>
      </c>
      <c r="J222" s="13" t="str">
        <f t="shared" ca="1" si="184"/>
        <v>Raven</v>
      </c>
      <c r="K222" s="13" t="str">
        <f t="shared" ca="1" si="185"/>
        <v>Megan</v>
      </c>
      <c r="L222" s="13" t="str">
        <f t="shared" ca="1" si="186"/>
        <v>Christmas</v>
      </c>
      <c r="M222" s="13" t="str">
        <f t="shared" ca="1" si="187"/>
        <v>Ramses</v>
      </c>
      <c r="N222" s="13" t="str">
        <f t="shared" ca="1" si="188"/>
        <v/>
      </c>
      <c r="O222" s="13" t="str">
        <f t="shared" ca="1" si="189"/>
        <v>Megan</v>
      </c>
      <c r="P222" s="13" t="str">
        <f t="shared" ca="1" si="190"/>
        <v>Josh</v>
      </c>
      <c r="Q222" s="13" t="str">
        <f t="shared" ca="1" si="191"/>
        <v>Jason</v>
      </c>
      <c r="R222" s="13" t="str">
        <f t="shared" ca="1" si="192"/>
        <v>Raven</v>
      </c>
      <c r="S222" s="13"/>
      <c r="T222" s="13"/>
      <c r="U222" s="13"/>
      <c r="V222" s="13"/>
    </row>
    <row r="223" spans="1:22" x14ac:dyDescent="0.25">
      <c r="A223" s="13"/>
      <c r="B223" s="13" t="str">
        <f t="shared" ca="1" si="176"/>
        <v>Mark</v>
      </c>
      <c r="C223" s="13" t="str">
        <f t="shared" ca="1" si="177"/>
        <v>Cameron</v>
      </c>
      <c r="D223" s="13" t="str">
        <f t="shared" ca="1" si="178"/>
        <v/>
      </c>
      <c r="E223" s="13" t="str">
        <f t="shared" ca="1" si="179"/>
        <v>Mark</v>
      </c>
      <c r="F223" s="13" t="str">
        <f t="shared" ca="1" si="180"/>
        <v>Elena</v>
      </c>
      <c r="G223" s="13" t="str">
        <f t="shared" ca="1" si="181"/>
        <v>Raven</v>
      </c>
      <c r="H223" s="13" t="str">
        <f t="shared" ca="1" si="182"/>
        <v/>
      </c>
      <c r="I223" s="13" t="str">
        <f t="shared" ca="1" si="183"/>
        <v>Christmas</v>
      </c>
      <c r="J223" s="13" t="str">
        <f t="shared" ca="1" si="184"/>
        <v>Jessica</v>
      </c>
      <c r="K223" s="13" t="str">
        <f t="shared" ca="1" si="185"/>
        <v>Josh</v>
      </c>
      <c r="L223" s="13" t="str">
        <f t="shared" ca="1" si="186"/>
        <v>Cameron</v>
      </c>
      <c r="M223" s="13" t="str">
        <f t="shared" ca="1" si="187"/>
        <v>Matt</v>
      </c>
      <c r="N223" s="13" t="str">
        <f t="shared" ca="1" si="188"/>
        <v/>
      </c>
      <c r="O223" s="13" t="str">
        <f t="shared" ca="1" si="189"/>
        <v>Ramses</v>
      </c>
      <c r="P223" s="13" t="str">
        <f t="shared" ca="1" si="190"/>
        <v>Megan</v>
      </c>
      <c r="Q223" s="13" t="str">
        <f t="shared" ca="1" si="191"/>
        <v>Elena</v>
      </c>
      <c r="R223" s="13" t="str">
        <f t="shared" ca="1" si="192"/>
        <v>Cody</v>
      </c>
      <c r="S223" s="13"/>
      <c r="T223" s="13"/>
      <c r="U223" s="13"/>
      <c r="V223" s="13"/>
    </row>
    <row r="224" spans="1:22" x14ac:dyDescent="0.25">
      <c r="A224" s="13"/>
      <c r="B224" s="13" t="str">
        <f t="shared" ref="B224:R224" ca="1" si="193">IF(B223="","",IF(B223=B209,"",IF(B209=$A$211,"",B209)))</f>
        <v>Megan</v>
      </c>
      <c r="C224" s="13" t="str">
        <f t="shared" ca="1" si="193"/>
        <v>Jason</v>
      </c>
      <c r="D224" s="13" t="str">
        <f t="shared" ca="1" si="193"/>
        <v/>
      </c>
      <c r="E224" s="13" t="str">
        <f t="shared" ca="1" si="193"/>
        <v>Christmas</v>
      </c>
      <c r="F224" s="13" t="str">
        <f t="shared" ca="1" si="193"/>
        <v>Alex</v>
      </c>
      <c r="G224" s="13" t="str">
        <f t="shared" ca="1" si="193"/>
        <v>Megan</v>
      </c>
      <c r="H224" s="13" t="str">
        <f t="shared" ca="1" si="193"/>
        <v/>
      </c>
      <c r="I224" s="13" t="str">
        <f t="shared" ca="1" si="193"/>
        <v>Elena</v>
      </c>
      <c r="J224" s="13" t="str">
        <f t="shared" ca="1" si="193"/>
        <v>Matt</v>
      </c>
      <c r="K224" s="13" t="str">
        <f t="shared" ca="1" si="193"/>
        <v>Jillian</v>
      </c>
      <c r="L224" s="13" t="str">
        <f t="shared" ca="1" si="193"/>
        <v>Ramses</v>
      </c>
      <c r="M224" s="13" t="str">
        <f t="shared" ca="1" si="193"/>
        <v>Josh</v>
      </c>
      <c r="N224" s="13" t="str">
        <f t="shared" ca="1" si="193"/>
        <v/>
      </c>
      <c r="O224" s="13" t="str">
        <f t="shared" ca="1" si="193"/>
        <v>Christmas</v>
      </c>
      <c r="P224" s="13" t="str">
        <f t="shared" ca="1" si="193"/>
        <v>Cody</v>
      </c>
      <c r="Q224" s="13" t="str">
        <f t="shared" ca="1" si="193"/>
        <v>Ramses</v>
      </c>
      <c r="R224" s="13" t="str">
        <f t="shared" ca="1" si="193"/>
        <v>Matt</v>
      </c>
      <c r="S224" s="13"/>
      <c r="T224" s="13"/>
      <c r="U224" s="13"/>
      <c r="V224" s="13"/>
    </row>
    <row r="225" spans="1:22" x14ac:dyDescent="0.25">
      <c r="S225" s="13"/>
      <c r="T225" s="13"/>
      <c r="U225" s="13"/>
      <c r="V225" s="13"/>
    </row>
    <row r="226" spans="1:22" x14ac:dyDescent="0.25">
      <c r="B226" s="47" t="str">
        <f t="shared" ref="B226:R226" ca="1" si="194">IF(B211="","",B211)</f>
        <v>Raven</v>
      </c>
      <c r="C226" s="47" t="str">
        <f t="shared" ca="1" si="194"/>
        <v>Ramses</v>
      </c>
      <c r="D226" s="47" t="str">
        <f t="shared" ca="1" si="194"/>
        <v/>
      </c>
      <c r="E226" s="47" t="str">
        <f t="shared" ca="1" si="194"/>
        <v>Megan</v>
      </c>
      <c r="F226" s="47" t="str">
        <f t="shared" ca="1" si="194"/>
        <v>Matt</v>
      </c>
      <c r="G226" s="47" t="str">
        <f t="shared" ca="1" si="194"/>
        <v>Mark</v>
      </c>
      <c r="H226" s="47" t="str">
        <f t="shared" ca="1" si="194"/>
        <v/>
      </c>
      <c r="I226" s="47" t="str">
        <f t="shared" ca="1" si="194"/>
        <v>Josh</v>
      </c>
      <c r="J226" s="47" t="str">
        <f t="shared" ca="1" si="194"/>
        <v>Jillian</v>
      </c>
      <c r="K226" s="47" t="str">
        <f t="shared" ca="1" si="194"/>
        <v>Jessica</v>
      </c>
      <c r="L226" s="47" t="str">
        <f t="shared" ca="1" si="194"/>
        <v>Jason</v>
      </c>
      <c r="M226" s="47" t="str">
        <f t="shared" ca="1" si="194"/>
        <v>Elena</v>
      </c>
      <c r="N226" s="47" t="str">
        <f t="shared" ca="1" si="194"/>
        <v/>
      </c>
      <c r="O226" s="47" t="str">
        <f t="shared" ca="1" si="194"/>
        <v>Cody</v>
      </c>
      <c r="P226" s="47" t="str">
        <f t="shared" ca="1" si="194"/>
        <v>Christmas</v>
      </c>
      <c r="Q226" s="47" t="str">
        <f t="shared" ca="1" si="194"/>
        <v>Cameron</v>
      </c>
      <c r="R226" s="47" t="str">
        <f t="shared" ca="1" si="194"/>
        <v>Alex</v>
      </c>
      <c r="S226" s="13"/>
      <c r="T226" s="13"/>
      <c r="U226" s="13"/>
      <c r="V226" s="13"/>
    </row>
    <row r="227" spans="1:22" x14ac:dyDescent="0.25">
      <c r="A227" s="13" t="str">
        <f ca="1">Game!H662</f>
        <v>Cody</v>
      </c>
      <c r="B227" s="13">
        <f t="shared" ref="B227:R227" ca="1" si="195">IF(B226="","",INDEX(B$2:B$18,MATCH($A227,$A$2:$A$18,0)))</f>
        <v>73.03778757742748</v>
      </c>
      <c r="C227" s="13">
        <f t="shared" ca="1" si="195"/>
        <v>12.024799850985175</v>
      </c>
      <c r="D227" s="13" t="str">
        <f ca="1">IF(D226="","",INDEX(D$2:D$18,MATCH($A227,$A$2:$A$18,0)))</f>
        <v/>
      </c>
      <c r="E227" s="13">
        <f t="shared" ca="1" si="195"/>
        <v>18.048940847008435</v>
      </c>
      <c r="F227" s="13">
        <f t="shared" ca="1" si="195"/>
        <v>77.161630741743451</v>
      </c>
      <c r="G227" s="13">
        <f t="shared" ca="1" si="195"/>
        <v>24.230698123089187</v>
      </c>
      <c r="H227" s="13" t="str">
        <f t="shared" ca="1" si="195"/>
        <v/>
      </c>
      <c r="I227" s="13">
        <f t="shared" ca="1" si="195"/>
        <v>68.054883665149632</v>
      </c>
      <c r="J227" s="13">
        <f t="shared" ca="1" si="195"/>
        <v>52.275980603054812</v>
      </c>
      <c r="K227" s="13">
        <f t="shared" ca="1" si="195"/>
        <v>46.28551811425136</v>
      </c>
      <c r="L227" s="13">
        <f t="shared" ca="1" si="195"/>
        <v>41.238479804029616</v>
      </c>
      <c r="M227" s="13">
        <f t="shared" ca="1" si="195"/>
        <v>82.363856292644456</v>
      </c>
      <c r="N227" s="13" t="str">
        <f t="shared" ca="1" si="195"/>
        <v/>
      </c>
      <c r="O227" s="13">
        <f t="shared" ca="1" si="195"/>
        <v>101</v>
      </c>
      <c r="P227" s="13">
        <f t="shared" ca="1" si="195"/>
        <v>2.2850546326158266E-2</v>
      </c>
      <c r="Q227" s="13">
        <f t="shared" ca="1" si="195"/>
        <v>69.289969172023191</v>
      </c>
      <c r="R227" s="13">
        <f t="shared" ca="1" si="195"/>
        <v>23.434421387666173</v>
      </c>
      <c r="S227" s="13"/>
      <c r="T227" s="13"/>
      <c r="U227" s="13"/>
      <c r="V227" s="13"/>
    </row>
    <row r="228" spans="1:2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x14ac:dyDescent="0.25">
      <c r="A229" s="13"/>
      <c r="B229" s="13" t="str">
        <f t="shared" ref="B229:R229" ca="1" si="196">B226</f>
        <v>Raven</v>
      </c>
      <c r="C229" s="13" t="str">
        <f t="shared" ca="1" si="196"/>
        <v>Ramses</v>
      </c>
      <c r="D229" s="13" t="str">
        <f t="shared" ca="1" si="196"/>
        <v/>
      </c>
      <c r="E229" s="13" t="str">
        <f t="shared" ca="1" si="196"/>
        <v>Megan</v>
      </c>
      <c r="F229" s="13" t="str">
        <f t="shared" ca="1" si="196"/>
        <v>Matt</v>
      </c>
      <c r="G229" s="13" t="str">
        <f t="shared" ca="1" si="196"/>
        <v>Mark</v>
      </c>
      <c r="H229" s="13" t="str">
        <f t="shared" ca="1" si="196"/>
        <v/>
      </c>
      <c r="I229" s="13" t="str">
        <f t="shared" ca="1" si="196"/>
        <v>Josh</v>
      </c>
      <c r="J229" s="13" t="str">
        <f t="shared" ca="1" si="196"/>
        <v>Jillian</v>
      </c>
      <c r="K229" s="13" t="str">
        <f t="shared" ca="1" si="196"/>
        <v>Jessica</v>
      </c>
      <c r="L229" s="13" t="str">
        <f t="shared" ca="1" si="196"/>
        <v>Jason</v>
      </c>
      <c r="M229" s="13" t="str">
        <f t="shared" ca="1" si="196"/>
        <v>Elena</v>
      </c>
      <c r="N229" s="13" t="str">
        <f t="shared" ca="1" si="196"/>
        <v/>
      </c>
      <c r="O229" s="13" t="str">
        <f t="shared" ca="1" si="196"/>
        <v>Cody</v>
      </c>
      <c r="P229" s="13" t="str">
        <f t="shared" ca="1" si="196"/>
        <v>Christmas</v>
      </c>
      <c r="Q229" s="13" t="str">
        <f t="shared" ca="1" si="196"/>
        <v>Cameron</v>
      </c>
      <c r="R229" s="13" t="str">
        <f t="shared" ca="1" si="196"/>
        <v>Alex</v>
      </c>
      <c r="S229" s="13"/>
      <c r="T229" s="13"/>
      <c r="U229" s="13"/>
      <c r="V229" s="13"/>
    </row>
    <row r="230" spans="1:22" x14ac:dyDescent="0.25">
      <c r="A230" s="13" t="str">
        <f ca="1">Game!G387</f>
        <v>Raven</v>
      </c>
      <c r="B230" s="13">
        <f t="shared" ref="B230:R230" ca="1" si="197">IF(B229="","",INDEX(B$2:B$18,MATCH($A230,$A$2:$A$18,0)))</f>
        <v>101</v>
      </c>
      <c r="C230" s="13">
        <f t="shared" ca="1" si="197"/>
        <v>61.058885096535313</v>
      </c>
      <c r="D230" s="13" t="str">
        <f t="shared" ca="1" si="197"/>
        <v/>
      </c>
      <c r="E230" s="13">
        <f t="shared" ca="1" si="197"/>
        <v>10.140565248618941</v>
      </c>
      <c r="F230" s="13">
        <f t="shared" ca="1" si="197"/>
        <v>16.041606218120869</v>
      </c>
      <c r="G230" s="13">
        <f t="shared" ca="1" si="197"/>
        <v>14.404075662040396</v>
      </c>
      <c r="H230" s="13" t="str">
        <f t="shared" ca="1" si="197"/>
        <v/>
      </c>
      <c r="I230" s="13">
        <f t="shared" ca="1" si="197"/>
        <v>16.322321659313264</v>
      </c>
      <c r="J230" s="13">
        <f t="shared" ca="1" si="197"/>
        <v>25.012998050500968</v>
      </c>
      <c r="K230" s="13">
        <f t="shared" ca="1" si="197"/>
        <v>82.335943293871836</v>
      </c>
      <c r="L230" s="13">
        <f t="shared" ca="1" si="197"/>
        <v>26.449699295094824</v>
      </c>
      <c r="M230" s="13">
        <f t="shared" ca="1" si="197"/>
        <v>56.2767320805171</v>
      </c>
      <c r="N230" s="13" t="str">
        <f t="shared" ca="1" si="197"/>
        <v/>
      </c>
      <c r="O230" s="13">
        <f t="shared" ca="1" si="197"/>
        <v>73.03778757742748</v>
      </c>
      <c r="P230" s="13">
        <f t="shared" ca="1" si="197"/>
        <v>49.206725336114673</v>
      </c>
      <c r="Q230" s="13">
        <f t="shared" ca="1" si="197"/>
        <v>47.409368445659858</v>
      </c>
      <c r="R230" s="13">
        <f t="shared" ca="1" si="197"/>
        <v>27.072683409527087</v>
      </c>
      <c r="S230" s="13"/>
      <c r="T230" s="13"/>
      <c r="U230" s="13"/>
      <c r="V230" s="13"/>
    </row>
    <row r="231" spans="1:2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x14ac:dyDescent="0.25">
      <c r="A232" t="s">
        <v>113</v>
      </c>
      <c r="B232" t="str">
        <f ca="1">Game!F679</f>
        <v>Christmas</v>
      </c>
      <c r="C232" t="str">
        <f ca="1">Game!F680</f>
        <v>Ramses</v>
      </c>
      <c r="D232" t="str">
        <f ca="1">Game!F681</f>
        <v/>
      </c>
      <c r="E232" s="13"/>
      <c r="F232" s="13"/>
      <c r="G232" s="13"/>
      <c r="H232" s="13"/>
      <c r="I232" s="13"/>
      <c r="J232" s="13"/>
      <c r="K232" s="13"/>
      <c r="L232" s="13"/>
      <c r="M232" s="13"/>
      <c r="N232" s="13"/>
      <c r="O232" s="13"/>
      <c r="P232" s="13"/>
      <c r="Q232" s="13"/>
      <c r="R232" s="13"/>
      <c r="S232" s="13"/>
      <c r="T232" s="13"/>
      <c r="U232" s="13"/>
      <c r="V232" s="13"/>
    </row>
    <row r="233" spans="1:22" x14ac:dyDescent="0.25">
      <c r="A233">
        <f>A153</f>
        <v>65</v>
      </c>
      <c r="B233" t="str">
        <f ca="1">IF(COUNTIF($B232:$D232,B$1)=0,"",B$1)</f>
        <v/>
      </c>
      <c r="C233" t="str">
        <f t="shared" ref="C233:R233" ca="1" si="198">IF(COUNTIF($B232:$D232,C$1)=0,"",C$1)</f>
        <v>Ramses</v>
      </c>
      <c r="D233" t="str">
        <f t="shared" ca="1" si="198"/>
        <v/>
      </c>
      <c r="E233" t="str">
        <f t="shared" ca="1" si="198"/>
        <v/>
      </c>
      <c r="F233" t="str">
        <f t="shared" ca="1" si="198"/>
        <v/>
      </c>
      <c r="G233" t="str">
        <f t="shared" ca="1" si="198"/>
        <v/>
      </c>
      <c r="H233" t="str">
        <f t="shared" ca="1" si="198"/>
        <v/>
      </c>
      <c r="I233" t="str">
        <f t="shared" ca="1" si="198"/>
        <v/>
      </c>
      <c r="J233" t="str">
        <f t="shared" ca="1" si="198"/>
        <v/>
      </c>
      <c r="K233" t="str">
        <f t="shared" ca="1" si="198"/>
        <v/>
      </c>
      <c r="L233" t="str">
        <f t="shared" ca="1" si="198"/>
        <v/>
      </c>
      <c r="M233" t="str">
        <f t="shared" ca="1" si="198"/>
        <v/>
      </c>
      <c r="N233" t="str">
        <f t="shared" ca="1" si="198"/>
        <v/>
      </c>
      <c r="O233" t="str">
        <f t="shared" ca="1" si="198"/>
        <v/>
      </c>
      <c r="P233" t="str">
        <f t="shared" ca="1" si="198"/>
        <v>Christmas</v>
      </c>
      <c r="Q233" t="str">
        <f t="shared" ca="1" si="198"/>
        <v/>
      </c>
      <c r="R233" t="str">
        <f t="shared" ca="1" si="198"/>
        <v/>
      </c>
      <c r="S233" s="13"/>
      <c r="T233" s="13"/>
      <c r="U233" s="13"/>
      <c r="V233" s="13"/>
    </row>
    <row r="234" spans="1:22" x14ac:dyDescent="0.25">
      <c r="A234" t="str">
        <f ca="1">Game!H703</f>
        <v>Megan</v>
      </c>
      <c r="B234" t="str">
        <f t="shared" ref="B234:R234" ca="1" si="199">IF(B233="","",INDEX(B$2:B$18,MATCH($A$234,$A$2:$A$18,0)))</f>
        <v/>
      </c>
      <c r="C234">
        <f t="shared" ca="1" si="199"/>
        <v>54.337913644821178</v>
      </c>
      <c r="D234" t="str">
        <f t="shared" ca="1" si="199"/>
        <v/>
      </c>
      <c r="E234" t="str">
        <f t="shared" ca="1" si="199"/>
        <v/>
      </c>
      <c r="F234" t="str">
        <f t="shared" ca="1" si="199"/>
        <v/>
      </c>
      <c r="G234" t="str">
        <f t="shared" ca="1" si="199"/>
        <v/>
      </c>
      <c r="H234" t="str">
        <f t="shared" ca="1" si="199"/>
        <v/>
      </c>
      <c r="I234" t="str">
        <f t="shared" ca="1" si="199"/>
        <v/>
      </c>
      <c r="J234" t="str">
        <f t="shared" ca="1" si="199"/>
        <v/>
      </c>
      <c r="K234" t="str">
        <f t="shared" ca="1" si="199"/>
        <v/>
      </c>
      <c r="L234" t="str">
        <f t="shared" ca="1" si="199"/>
        <v/>
      </c>
      <c r="M234" t="str">
        <f t="shared" ca="1" si="199"/>
        <v/>
      </c>
      <c r="N234" t="str">
        <f t="shared" ca="1" si="199"/>
        <v/>
      </c>
      <c r="O234" t="str">
        <f t="shared" ca="1" si="199"/>
        <v/>
      </c>
      <c r="P234">
        <f t="shared" ca="1" si="199"/>
        <v>7.1318867821929848</v>
      </c>
      <c r="Q234" t="str">
        <f t="shared" ca="1" si="199"/>
        <v/>
      </c>
      <c r="R234" t="str">
        <f t="shared" ca="1" si="199"/>
        <v/>
      </c>
      <c r="S234" s="13"/>
      <c r="T234" s="13"/>
      <c r="U234" s="13"/>
      <c r="V234" s="13"/>
    </row>
    <row r="235" spans="1:22" x14ac:dyDescent="0.25">
      <c r="A235">
        <f ca="1">LARGE(B234:R234,1)</f>
        <v>54.337913644821178</v>
      </c>
      <c r="E235" s="13"/>
      <c r="F235" s="13"/>
      <c r="G235" s="13"/>
      <c r="H235" s="13"/>
      <c r="I235" s="13"/>
      <c r="J235" s="13"/>
      <c r="K235" s="13"/>
      <c r="L235" s="13"/>
      <c r="M235" s="13"/>
      <c r="N235" s="13"/>
      <c r="O235" s="13"/>
      <c r="P235" s="13"/>
      <c r="Q235" s="13"/>
      <c r="R235" s="13"/>
      <c r="S235" s="13"/>
      <c r="T235" s="13"/>
      <c r="U235" s="13"/>
      <c r="V235" s="13"/>
    </row>
    <row r="236" spans="1:22" x14ac:dyDescent="0.25">
      <c r="A236" t="str">
        <f ca="1">IF(A235&lt;=A233-1,IF(D232="","Neither Nominee","Nobody"),INDEX(B233:R233,MATCH(A235,B234:R234,0)))</f>
        <v>Neither Nominee</v>
      </c>
      <c r="E236" s="13"/>
      <c r="F236" s="13"/>
      <c r="G236" s="13"/>
      <c r="H236" s="13"/>
      <c r="I236" s="13"/>
      <c r="J236" s="13"/>
      <c r="K236" s="13"/>
      <c r="L236" s="13"/>
      <c r="M236" s="13"/>
      <c r="N236" s="13"/>
      <c r="O236" s="13"/>
      <c r="P236" s="13"/>
      <c r="Q236" s="13"/>
      <c r="R236" s="13"/>
      <c r="S236" s="13"/>
      <c r="T236" s="13"/>
      <c r="U236" s="13"/>
      <c r="V236" s="13"/>
    </row>
    <row r="237" spans="1:2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x14ac:dyDescent="0.25">
      <c r="A238" t="s">
        <v>113</v>
      </c>
      <c r="B238" s="13" t="str">
        <f ca="1">Game!G717</f>
        <v>Christmas</v>
      </c>
      <c r="C238" s="13" t="str">
        <f ca="1">Game!H717</f>
        <v>Ramses</v>
      </c>
      <c r="D238" s="13" t="str">
        <f ca="1">Game!I717</f>
        <v/>
      </c>
      <c r="E238" s="13"/>
      <c r="F238" s="13"/>
      <c r="G238" s="13"/>
      <c r="H238" s="13"/>
      <c r="I238" s="13"/>
      <c r="J238" s="13"/>
      <c r="K238" s="13"/>
      <c r="L238" s="13"/>
      <c r="M238" s="13"/>
      <c r="N238" s="13"/>
      <c r="O238" s="13"/>
      <c r="P238" s="13"/>
      <c r="Q238" s="13"/>
      <c r="R238" s="13"/>
      <c r="S238" s="13"/>
      <c r="T238" s="13"/>
      <c r="U238" s="13"/>
      <c r="V238" s="13"/>
    </row>
    <row r="239" spans="1:22" x14ac:dyDescent="0.25">
      <c r="A239">
        <f>A233</f>
        <v>65</v>
      </c>
      <c r="B239" t="str">
        <f ca="1">IF(COUNTIF($B238:$D238,B$1)=0,"",B$1)</f>
        <v/>
      </c>
      <c r="C239" t="str">
        <f t="shared" ref="C239:R239" ca="1" si="200">IF(COUNTIF($B238:$D238,C$1)=0,"",C$1)</f>
        <v>Ramses</v>
      </c>
      <c r="D239" t="str">
        <f t="shared" ca="1" si="200"/>
        <v/>
      </c>
      <c r="E239" t="str">
        <f t="shared" ca="1" si="200"/>
        <v/>
      </c>
      <c r="F239" t="str">
        <f t="shared" ca="1" si="200"/>
        <v/>
      </c>
      <c r="G239" t="str">
        <f t="shared" ca="1" si="200"/>
        <v/>
      </c>
      <c r="H239" t="str">
        <f t="shared" ca="1" si="200"/>
        <v/>
      </c>
      <c r="I239" t="str">
        <f t="shared" ca="1" si="200"/>
        <v/>
      </c>
      <c r="J239" t="str">
        <f t="shared" ca="1" si="200"/>
        <v/>
      </c>
      <c r="K239" t="str">
        <f t="shared" ca="1" si="200"/>
        <v/>
      </c>
      <c r="L239" t="str">
        <f t="shared" ca="1" si="200"/>
        <v/>
      </c>
      <c r="M239" t="str">
        <f t="shared" ca="1" si="200"/>
        <v/>
      </c>
      <c r="N239" t="str">
        <f t="shared" ca="1" si="200"/>
        <v/>
      </c>
      <c r="O239" t="str">
        <f t="shared" ca="1" si="200"/>
        <v/>
      </c>
      <c r="P239" t="str">
        <f t="shared" ca="1" si="200"/>
        <v>Christmas</v>
      </c>
      <c r="Q239" t="str">
        <f t="shared" ca="1" si="200"/>
        <v/>
      </c>
      <c r="R239" t="str">
        <f t="shared" ca="1" si="200"/>
        <v/>
      </c>
      <c r="S239" s="13"/>
      <c r="T239" s="13"/>
      <c r="U239" s="13"/>
      <c r="V239" s="13"/>
    </row>
    <row r="240" spans="1:22" x14ac:dyDescent="0.25">
      <c r="A240" s="13" t="str">
        <f ca="1">Game!G509</f>
        <v>Matt</v>
      </c>
      <c r="B240" t="str">
        <f t="shared" ref="B240:O240" ca="1" si="201">IF(B239="","",INDEX(B$2:B$18,MATCH($A$154,$A$2:$A$18,0)))</f>
        <v/>
      </c>
      <c r="C240">
        <f t="shared" ca="1" si="201"/>
        <v>51.299683179009882</v>
      </c>
      <c r="D240" t="str">
        <f t="shared" ca="1" si="201"/>
        <v/>
      </c>
      <c r="E240" t="str">
        <f t="shared" ca="1" si="201"/>
        <v/>
      </c>
      <c r="F240" t="str">
        <f t="shared" ca="1" si="201"/>
        <v/>
      </c>
      <c r="G240" t="str">
        <f t="shared" ca="1" si="201"/>
        <v/>
      </c>
      <c r="H240" t="str">
        <f t="shared" ca="1" si="201"/>
        <v/>
      </c>
      <c r="I240" t="str">
        <f t="shared" ca="1" si="201"/>
        <v/>
      </c>
      <c r="J240" t="str">
        <f t="shared" ca="1" si="201"/>
        <v/>
      </c>
      <c r="K240" t="str">
        <f t="shared" ca="1" si="201"/>
        <v/>
      </c>
      <c r="L240" t="str">
        <f t="shared" ca="1" si="201"/>
        <v/>
      </c>
      <c r="M240" t="str">
        <f t="shared" ca="1" si="201"/>
        <v/>
      </c>
      <c r="N240" t="str">
        <f t="shared" ca="1" si="201"/>
        <v/>
      </c>
      <c r="O240" t="str">
        <f t="shared" ca="1" si="201"/>
        <v/>
      </c>
      <c r="P240">
        <f ca="1">IF(P239="","",INDEX(P$2:P$18,MATCH($A$154,$A$2:$A$18,0)))</f>
        <v>85.372246819883017</v>
      </c>
      <c r="Q240" t="str">
        <f t="shared" ref="Q240:R240" ca="1" si="202">IF(Q239="","",INDEX(Q$2:Q$18,MATCH($A$154,$A$2:$A$18,0)))</f>
        <v/>
      </c>
      <c r="R240" t="str">
        <f t="shared" ca="1" si="202"/>
        <v/>
      </c>
      <c r="S240" s="13"/>
      <c r="T240" s="13"/>
      <c r="U240" s="13"/>
      <c r="V240" s="13"/>
    </row>
    <row r="241" spans="1:22" x14ac:dyDescent="0.25">
      <c r="A241" s="13" t="str">
        <f ca="1">IF(G241&lt;=F241,"Halt","No")</f>
        <v>No</v>
      </c>
      <c r="B241" s="13">
        <f ca="1">LARGE(B240:R240,1)</f>
        <v>85.372246819883017</v>
      </c>
      <c r="C241" s="13">
        <f ca="1">LARGE(B240:R240,2)</f>
        <v>51.299683179009882</v>
      </c>
      <c r="D241" s="13" t="str">
        <f ca="1">IF(D238="","",LARGE(B240:R240,3))</f>
        <v/>
      </c>
      <c r="E241" s="13">
        <f ca="1">IF(D241="",2,3)</f>
        <v>2</v>
      </c>
      <c r="F241" s="13">
        <f ca="1">COUNTIF(B241:D241,"&gt;="&amp;A239)-0.1</f>
        <v>0.9</v>
      </c>
      <c r="G241" s="13">
        <f ca="1">RANDBETWEEN(0,E241-1)</f>
        <v>1</v>
      </c>
      <c r="H241" s="13"/>
      <c r="I241" s="13"/>
      <c r="J241" s="13"/>
      <c r="K241" s="13"/>
      <c r="L241" s="13"/>
      <c r="M241" s="13"/>
      <c r="N241" s="13"/>
      <c r="O241" s="13"/>
      <c r="P241" s="13"/>
      <c r="Q241" s="13"/>
      <c r="R241" s="13"/>
      <c r="S241" s="13"/>
      <c r="T241" s="13"/>
      <c r="U241" s="13"/>
      <c r="V241" s="13"/>
    </row>
    <row r="242" spans="1:2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x14ac:dyDescent="0.25">
      <c r="A243" s="13"/>
      <c r="B243" s="13" t="str">
        <f ca="1">B211</f>
        <v>Raven</v>
      </c>
      <c r="C243" s="13" t="str">
        <f t="shared" ref="C243:R243" ca="1" si="203">C211</f>
        <v>Ramses</v>
      </c>
      <c r="D243" s="13" t="str">
        <f t="shared" ca="1" si="203"/>
        <v/>
      </c>
      <c r="E243" s="13" t="str">
        <f t="shared" ca="1" si="203"/>
        <v>Megan</v>
      </c>
      <c r="F243" s="13" t="str">
        <f t="shared" ca="1" si="203"/>
        <v>Matt</v>
      </c>
      <c r="G243" s="13" t="str">
        <f t="shared" ca="1" si="203"/>
        <v>Mark</v>
      </c>
      <c r="H243" s="13" t="str">
        <f t="shared" ca="1" si="203"/>
        <v/>
      </c>
      <c r="I243" s="13" t="str">
        <f t="shared" ca="1" si="203"/>
        <v>Josh</v>
      </c>
      <c r="J243" s="13" t="str">
        <f t="shared" ca="1" si="203"/>
        <v>Jillian</v>
      </c>
      <c r="K243" s="13" t="str">
        <f t="shared" ca="1" si="203"/>
        <v>Jessica</v>
      </c>
      <c r="L243" s="13" t="str">
        <f t="shared" ca="1" si="203"/>
        <v>Jason</v>
      </c>
      <c r="M243" s="13" t="str">
        <f t="shared" ca="1" si="203"/>
        <v>Elena</v>
      </c>
      <c r="N243" s="13" t="str">
        <f t="shared" ca="1" si="203"/>
        <v/>
      </c>
      <c r="O243" s="13" t="str">
        <f t="shared" ca="1" si="203"/>
        <v>Cody</v>
      </c>
      <c r="P243" s="13" t="str">
        <f t="shared" ca="1" si="203"/>
        <v>Christmas</v>
      </c>
      <c r="Q243" s="13" t="str">
        <f t="shared" ca="1" si="203"/>
        <v>Cameron</v>
      </c>
      <c r="R243" s="13" t="str">
        <f t="shared" ca="1" si="203"/>
        <v>Alex</v>
      </c>
      <c r="S243" s="13"/>
      <c r="T243" s="13"/>
      <c r="U243" s="13"/>
      <c r="V243" s="13"/>
    </row>
    <row r="244" spans="1:22" x14ac:dyDescent="0.25">
      <c r="A244" s="13" t="str">
        <f ca="1">Game!G712</f>
        <v>Christmas</v>
      </c>
      <c r="B244">
        <f t="shared" ref="B244" ca="1" si="204">IF(B243="","",INDEX(B$2:B$18,MATCH($A244,$A$2:$A$18,0)))</f>
        <v>49.206725336114673</v>
      </c>
      <c r="C244">
        <f ca="1">IF(C243="","",INDEX(C$2:C$18,MATCH($A244,$A$2:$A$18,0)))</f>
        <v>83.393267987413225</v>
      </c>
      <c r="D244" t="str">
        <f t="shared" ref="D244:R244" ca="1" si="205">IF(D243="","",INDEX(D$2:D$18,MATCH($A244,$A$2:$A$18,0)))</f>
        <v/>
      </c>
      <c r="E244">
        <f t="shared" ca="1" si="205"/>
        <v>7.1318867821929848</v>
      </c>
      <c r="F244">
        <f t="shared" ca="1" si="205"/>
        <v>85.372246819883017</v>
      </c>
      <c r="G244">
        <f t="shared" ca="1" si="205"/>
        <v>72.406235089083978</v>
      </c>
      <c r="H244" t="str">
        <f t="shared" ca="1" si="205"/>
        <v/>
      </c>
      <c r="I244">
        <f t="shared" ca="1" si="205"/>
        <v>15.17715993671249</v>
      </c>
      <c r="J244">
        <f t="shared" ca="1" si="205"/>
        <v>45.133515745606985</v>
      </c>
      <c r="K244">
        <f t="shared" ca="1" si="205"/>
        <v>68.240859442058181</v>
      </c>
      <c r="L244">
        <f t="shared" ca="1" si="205"/>
        <v>22.004949710265894</v>
      </c>
      <c r="M244">
        <f t="shared" ca="1" si="205"/>
        <v>63.422646957515994</v>
      </c>
      <c r="N244" t="str">
        <f t="shared" ca="1" si="205"/>
        <v/>
      </c>
      <c r="O244">
        <f t="shared" ca="1" si="205"/>
        <v>2.2850546326158266E-2</v>
      </c>
      <c r="P244">
        <f t="shared" ca="1" si="205"/>
        <v>101</v>
      </c>
      <c r="Q244">
        <f t="shared" ca="1" si="205"/>
        <v>19.010344079183941</v>
      </c>
      <c r="R244">
        <f t="shared" ca="1" si="205"/>
        <v>39.09271954602108</v>
      </c>
      <c r="S244" s="13"/>
      <c r="T244" s="13"/>
      <c r="U244" s="13"/>
      <c r="V244" s="13"/>
    </row>
    <row r="245" spans="1:22" x14ac:dyDescent="0.25">
      <c r="A245" s="13" t="str">
        <f ca="1">Game!G713</f>
        <v>Ramses</v>
      </c>
      <c r="B245">
        <f t="shared" ref="B245:R245" ca="1" si="206">IF(B244="","",INDEX(B$2:B$18,MATCH($A245,$A$2:$A$18,0)))</f>
        <v>61.058885096535313</v>
      </c>
      <c r="C245">
        <f t="shared" ca="1" si="206"/>
        <v>101</v>
      </c>
      <c r="D245" t="str">
        <f t="shared" ca="1" si="206"/>
        <v/>
      </c>
      <c r="E245">
        <f t="shared" ca="1" si="206"/>
        <v>54.337913644821178</v>
      </c>
      <c r="F245">
        <f t="shared" ca="1" si="206"/>
        <v>51.299683179009882</v>
      </c>
      <c r="G245">
        <f t="shared" ca="1" si="206"/>
        <v>16.049435784814797</v>
      </c>
      <c r="H245" t="str">
        <f t="shared" ca="1" si="206"/>
        <v/>
      </c>
      <c r="I245">
        <f t="shared" ca="1" si="206"/>
        <v>74.254574277272255</v>
      </c>
      <c r="J245">
        <f t="shared" ca="1" si="206"/>
        <v>73.189409761983782</v>
      </c>
      <c r="K245">
        <f t="shared" ca="1" si="206"/>
        <v>53.184362828358395</v>
      </c>
      <c r="L245">
        <f t="shared" ca="1" si="206"/>
        <v>3.2767850456034151</v>
      </c>
      <c r="M245">
        <f t="shared" ca="1" si="206"/>
        <v>12.228426676996929</v>
      </c>
      <c r="N245" t="str">
        <f t="shared" ca="1" si="206"/>
        <v/>
      </c>
      <c r="O245">
        <f t="shared" ca="1" si="206"/>
        <v>12.024799850985175</v>
      </c>
      <c r="P245">
        <f t="shared" ca="1" si="206"/>
        <v>83.393267987413225</v>
      </c>
      <c r="Q245">
        <f t="shared" ca="1" si="206"/>
        <v>7.0998209115564732</v>
      </c>
      <c r="R245">
        <f t="shared" ca="1" si="206"/>
        <v>45.100969035321583</v>
      </c>
      <c r="S245" s="13"/>
      <c r="T245" s="13"/>
      <c r="U245" s="13"/>
      <c r="V245" s="13"/>
    </row>
    <row r="246" spans="1:22" x14ac:dyDescent="0.25">
      <c r="A246" s="13" t="str">
        <f ca="1">Game!G714</f>
        <v/>
      </c>
      <c r="B246" t="str">
        <f ca="1">IF(A246="","",IF(B245="","",INDEX(B$2:B$18,MATCH($A246,$A$2:$A$18,0))))</f>
        <v/>
      </c>
      <c r="C246" t="str">
        <f t="shared" ref="C246:R246" ca="1" si="207">IF($A246="","",IF(C245="","",INDEX(C$2:C$18,MATCH($A246,$A$2:$A$18,0))))</f>
        <v/>
      </c>
      <c r="D246" t="str">
        <f t="shared" ca="1" si="207"/>
        <v/>
      </c>
      <c r="E246" t="str">
        <f t="shared" ca="1" si="207"/>
        <v/>
      </c>
      <c r="F246" t="str">
        <f t="shared" ca="1" si="207"/>
        <v/>
      </c>
      <c r="G246" t="str">
        <f t="shared" ca="1" si="207"/>
        <v/>
      </c>
      <c r="H246" t="str">
        <f t="shared" ca="1" si="207"/>
        <v/>
      </c>
      <c r="I246" t="str">
        <f t="shared" ca="1" si="207"/>
        <v/>
      </c>
      <c r="J246" t="str">
        <f t="shared" ca="1" si="207"/>
        <v/>
      </c>
      <c r="K246" t="str">
        <f t="shared" ca="1" si="207"/>
        <v/>
      </c>
      <c r="L246" t="str">
        <f t="shared" ca="1" si="207"/>
        <v/>
      </c>
      <c r="M246" t="str">
        <f t="shared" ca="1" si="207"/>
        <v/>
      </c>
      <c r="N246" t="str">
        <f t="shared" ca="1" si="207"/>
        <v/>
      </c>
      <c r="O246" t="str">
        <f t="shared" ca="1" si="207"/>
        <v/>
      </c>
      <c r="P246" t="str">
        <f t="shared" ca="1" si="207"/>
        <v/>
      </c>
      <c r="Q246" t="str">
        <f t="shared" ca="1" si="207"/>
        <v/>
      </c>
      <c r="R246" t="str">
        <f t="shared" ca="1" si="207"/>
        <v/>
      </c>
      <c r="S246" s="13"/>
      <c r="T246" s="13"/>
      <c r="U246" s="13"/>
      <c r="V246" s="13"/>
    </row>
    <row r="247" spans="1:22" x14ac:dyDescent="0.25">
      <c r="A247" s="13"/>
      <c r="B247" t="str">
        <f ca="1">IF(B243="","",INDEX(A244:A246,MATCH(SMALL(B244:B246,1),B244:B246,0)))</f>
        <v>Christmas</v>
      </c>
      <c r="C247" t="str">
        <f t="shared" ref="C247:R247" ca="1" si="208">IF(C243="","",INDEX($A244:$A246,MATCH(SMALL(C244:C246,1),C244:C246,0)))</f>
        <v>Christmas</v>
      </c>
      <c r="D247" t="str">
        <f t="shared" ca="1" si="208"/>
        <v/>
      </c>
      <c r="E247" t="str">
        <f t="shared" ca="1" si="208"/>
        <v>Christmas</v>
      </c>
      <c r="F247" t="str">
        <f t="shared" ca="1" si="208"/>
        <v>Ramses</v>
      </c>
      <c r="G247" t="str">
        <f t="shared" ca="1" si="208"/>
        <v>Ramses</v>
      </c>
      <c r="H247" t="str">
        <f t="shared" ca="1" si="208"/>
        <v/>
      </c>
      <c r="I247" t="str">
        <f t="shared" ca="1" si="208"/>
        <v>Christmas</v>
      </c>
      <c r="J247" t="str">
        <f t="shared" ca="1" si="208"/>
        <v>Christmas</v>
      </c>
      <c r="K247" t="str">
        <f t="shared" ca="1" si="208"/>
        <v>Ramses</v>
      </c>
      <c r="L247" t="str">
        <f t="shared" ca="1" si="208"/>
        <v>Ramses</v>
      </c>
      <c r="M247" t="str">
        <f t="shared" ca="1" si="208"/>
        <v>Ramses</v>
      </c>
      <c r="N247" t="str">
        <f t="shared" ca="1" si="208"/>
        <v/>
      </c>
      <c r="O247" t="str">
        <f t="shared" ca="1" si="208"/>
        <v>Christmas</v>
      </c>
      <c r="P247" t="str">
        <f t="shared" ca="1" si="208"/>
        <v>Ramses</v>
      </c>
      <c r="Q247" t="str">
        <f t="shared" ca="1" si="208"/>
        <v>Ramses</v>
      </c>
      <c r="R247" t="str">
        <f t="shared" ca="1" si="208"/>
        <v>Christmas</v>
      </c>
      <c r="S247" s="13"/>
      <c r="T247" s="13"/>
      <c r="U247" s="13"/>
      <c r="V247" s="13"/>
    </row>
    <row r="248" spans="1:2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x14ac:dyDescent="0.25">
      <c r="A249" s="13" t="str">
        <f ca="1">Game!G741</f>
        <v>Ramses</v>
      </c>
      <c r="B249" s="13" t="str">
        <f t="shared" ref="B249:R249" ca="1" si="209">IF(B211=$A249,"",B211)</f>
        <v>Raven</v>
      </c>
      <c r="C249" s="13" t="str">
        <f t="shared" ca="1" si="209"/>
        <v/>
      </c>
      <c r="D249" s="13" t="str">
        <f t="shared" ca="1" si="209"/>
        <v/>
      </c>
      <c r="E249" s="13" t="str">
        <f t="shared" ca="1" si="209"/>
        <v>Megan</v>
      </c>
      <c r="F249" s="13" t="str">
        <f t="shared" ca="1" si="209"/>
        <v>Matt</v>
      </c>
      <c r="G249" s="13" t="str">
        <f t="shared" ca="1" si="209"/>
        <v>Mark</v>
      </c>
      <c r="H249" s="13" t="str">
        <f t="shared" ca="1" si="209"/>
        <v/>
      </c>
      <c r="I249" s="13" t="str">
        <f t="shared" ca="1" si="209"/>
        <v>Josh</v>
      </c>
      <c r="J249" s="13" t="str">
        <f t="shared" ca="1" si="209"/>
        <v>Jillian</v>
      </c>
      <c r="K249" s="13" t="str">
        <f t="shared" ca="1" si="209"/>
        <v>Jessica</v>
      </c>
      <c r="L249" s="13" t="str">
        <f t="shared" ca="1" si="209"/>
        <v>Jason</v>
      </c>
      <c r="M249" s="13" t="str">
        <f t="shared" ca="1" si="209"/>
        <v>Elena</v>
      </c>
      <c r="N249" s="13" t="str">
        <f t="shared" ca="1" si="209"/>
        <v/>
      </c>
      <c r="O249" s="13" t="str">
        <f t="shared" ca="1" si="209"/>
        <v>Cody</v>
      </c>
      <c r="P249" s="13" t="str">
        <f t="shared" ca="1" si="209"/>
        <v>Christmas</v>
      </c>
      <c r="Q249" s="13" t="str">
        <f t="shared" ca="1" si="209"/>
        <v>Cameron</v>
      </c>
      <c r="R249" s="13" t="str">
        <f t="shared" ca="1" si="209"/>
        <v>Alex</v>
      </c>
      <c r="S249" s="13"/>
      <c r="T249" s="13"/>
      <c r="U249" s="13"/>
      <c r="V249" s="13"/>
    </row>
    <row r="250" spans="1:22" x14ac:dyDescent="0.25">
      <c r="A250" s="13"/>
      <c r="B250" s="13" t="str">
        <f t="shared" ref="B250:R250" ca="1" si="210">IF(B249="","",IF(B212=$A$249,B213,B212))</f>
        <v>Jessica</v>
      </c>
      <c r="C250" s="13" t="str">
        <f t="shared" ca="1" si="210"/>
        <v/>
      </c>
      <c r="D250" s="13" t="str">
        <f t="shared" ca="1" si="210"/>
        <v/>
      </c>
      <c r="E250" s="13" t="str">
        <f t="shared" ca="1" si="210"/>
        <v>Jason</v>
      </c>
      <c r="F250" s="13" t="str">
        <f t="shared" ca="1" si="210"/>
        <v>Christmas</v>
      </c>
      <c r="G250" s="13" t="str">
        <f t="shared" ca="1" si="210"/>
        <v>Alex</v>
      </c>
      <c r="H250" s="13" t="str">
        <f t="shared" ca="1" si="210"/>
        <v/>
      </c>
      <c r="I250" s="13" t="str">
        <f t="shared" ca="1" si="210"/>
        <v>Matt</v>
      </c>
      <c r="J250" s="13" t="str">
        <f t="shared" ca="1" si="210"/>
        <v>Jason</v>
      </c>
      <c r="K250" s="13" t="str">
        <f t="shared" ca="1" si="210"/>
        <v>Raven</v>
      </c>
      <c r="L250" s="13" t="str">
        <f t="shared" ca="1" si="210"/>
        <v>Matt</v>
      </c>
      <c r="M250" s="13" t="str">
        <f t="shared" ca="1" si="210"/>
        <v>Cody</v>
      </c>
      <c r="N250" s="13" t="str">
        <f t="shared" ca="1" si="210"/>
        <v/>
      </c>
      <c r="O250" s="13" t="str">
        <f t="shared" ca="1" si="210"/>
        <v>Elena</v>
      </c>
      <c r="P250" s="13" t="str">
        <f t="shared" ca="1" si="210"/>
        <v>Matt</v>
      </c>
      <c r="Q250" s="13" t="str">
        <f t="shared" ca="1" si="210"/>
        <v>Alex</v>
      </c>
      <c r="R250" s="13" t="str">
        <f t="shared" ca="1" si="210"/>
        <v>Mark</v>
      </c>
      <c r="S250" s="13"/>
      <c r="T250" s="13"/>
      <c r="U250" s="13"/>
      <c r="V250" s="13"/>
    </row>
    <row r="251" spans="1:22" x14ac:dyDescent="0.25">
      <c r="A251" s="13"/>
      <c r="B251" s="13" t="str">
        <f t="shared" ref="B251:B261" ca="1" si="211">IF(B$249="","",IF(B250=B213,B214,IF(B213=$A$249,B214,B213)))</f>
        <v>Cody</v>
      </c>
      <c r="C251" s="13" t="str">
        <f t="shared" ref="C251:R251" ca="1" si="212">IF(C$249="","",IF(C250=C213,C214,IF(C213=$A$249,C214,C213)))</f>
        <v/>
      </c>
      <c r="D251" s="13" t="str">
        <f t="shared" ca="1" si="212"/>
        <v/>
      </c>
      <c r="E251" s="13" t="str">
        <f t="shared" ca="1" si="212"/>
        <v>Matt</v>
      </c>
      <c r="F251" s="13" t="str">
        <f t="shared" ca="1" si="212"/>
        <v>Jason</v>
      </c>
      <c r="G251" s="13" t="str">
        <f t="shared" ca="1" si="212"/>
        <v>Christmas</v>
      </c>
      <c r="H251" s="13" t="str">
        <f t="shared" ca="1" si="212"/>
        <v/>
      </c>
      <c r="I251" s="13" t="str">
        <f t="shared" ca="1" si="212"/>
        <v>Cody</v>
      </c>
      <c r="J251" s="13" t="str">
        <f t="shared" ca="1" si="212"/>
        <v>Megan</v>
      </c>
      <c r="K251" s="13" t="str">
        <f t="shared" ca="1" si="212"/>
        <v>Elena</v>
      </c>
      <c r="L251" s="13" t="str">
        <f t="shared" ca="1" si="212"/>
        <v>Megan</v>
      </c>
      <c r="M251" s="13" t="str">
        <f t="shared" ca="1" si="212"/>
        <v>Alex</v>
      </c>
      <c r="N251" s="13" t="str">
        <f t="shared" ca="1" si="212"/>
        <v/>
      </c>
      <c r="O251" s="13" t="str">
        <f t="shared" ca="1" si="212"/>
        <v>Matt</v>
      </c>
      <c r="P251" s="13" t="str">
        <f t="shared" ca="1" si="212"/>
        <v>Mark</v>
      </c>
      <c r="Q251" s="13" t="str">
        <f t="shared" ca="1" si="212"/>
        <v>Cody</v>
      </c>
      <c r="R251" s="13" t="str">
        <f t="shared" ca="1" si="212"/>
        <v>Cameron</v>
      </c>
      <c r="S251" s="13"/>
      <c r="T251" s="13"/>
      <c r="U251" s="13"/>
      <c r="V251" s="13"/>
    </row>
    <row r="252" spans="1:22" x14ac:dyDescent="0.25">
      <c r="A252" s="13"/>
      <c r="B252" s="13" t="str">
        <f t="shared" ca="1" si="211"/>
        <v>Elena</v>
      </c>
      <c r="C252" s="13" t="str">
        <f t="shared" ref="C252:C261" ca="1" si="213">IF(C$249="","",IF(C251=C214,C215,IF(C214=$A$249,C215,C214)))</f>
        <v/>
      </c>
      <c r="D252" s="13" t="str">
        <f t="shared" ref="D252:D261" ca="1" si="214">IF(D$249="","",IF(D251=D214,D215,IF(D214=$A$249,D215,D214)))</f>
        <v/>
      </c>
      <c r="E252" s="13" t="str">
        <f t="shared" ref="E252:E261" ca="1" si="215">IF(E$249="","",IF(E251=E214,E215,IF(E214=$A$249,E215,E214)))</f>
        <v>Jillian</v>
      </c>
      <c r="F252" s="13" t="str">
        <f t="shared" ref="F252:F261" ca="1" si="216">IF(F$249="","",IF(F251=F214,F215,IF(F214=$A$249,F215,F214)))</f>
        <v>Cody</v>
      </c>
      <c r="G252" s="13" t="str">
        <f t="shared" ref="G252:G261" ca="1" si="217">IF(G$249="","",IF(G251=G214,G215,IF(G214=$A$249,G215,G214)))</f>
        <v>Jessica</v>
      </c>
      <c r="H252" s="13" t="str">
        <f t="shared" ref="H252:H261" ca="1" si="218">IF(H$249="","",IF(H251=H214,H215,IF(H214=$A$249,H215,H214)))</f>
        <v/>
      </c>
      <c r="I252" s="13" t="str">
        <f t="shared" ref="I252:I261" ca="1" si="219">IF(I$249="","",IF(I251=I214,I215,IF(I214=$A$249,I215,I214)))</f>
        <v>Alex</v>
      </c>
      <c r="J252" s="13" t="str">
        <f t="shared" ref="J252:J261" ca="1" si="220">IF(J$249="","",IF(J251=J214,J215,IF(J214=$A$249,J215,J214)))</f>
        <v>Cameron</v>
      </c>
      <c r="K252" s="13" t="str">
        <f t="shared" ref="K252:K261" ca="1" si="221">IF(K$249="","",IF(K251=K214,K215,IF(K214=$A$249,K215,K214)))</f>
        <v>Christmas</v>
      </c>
      <c r="L252" s="13" t="str">
        <f t="shared" ref="L252:L261" ca="1" si="222">IF(L$249="","",IF(L251=L214,L215,IF(L214=$A$249,L215,L214)))</f>
        <v>Jillian</v>
      </c>
      <c r="M252" s="13" t="str">
        <f t="shared" ref="M252:M261" ca="1" si="223">IF(M$249="","",IF(M251=M214,M215,IF(M214=$A$249,M215,M214)))</f>
        <v>Jessica</v>
      </c>
      <c r="N252" s="13" t="str">
        <f t="shared" ref="N252:N261" ca="1" si="224">IF(N$249="","",IF(N251=N214,N215,IF(N214=$A$249,N215,N214)))</f>
        <v/>
      </c>
      <c r="O252" s="13" t="str">
        <f t="shared" ref="O252:O261" ca="1" si="225">IF(O$249="","",IF(O251=O214,O215,IF(O214=$A$249,O215,O214)))</f>
        <v>Raven</v>
      </c>
      <c r="P252" s="13" t="str">
        <f t="shared" ref="P252:P261" ca="1" si="226">IF(P$249="","",IF(P251=P214,P215,IF(P214=$A$249,P215,P214)))</f>
        <v>Jessica</v>
      </c>
      <c r="Q252" s="13" t="str">
        <f t="shared" ref="Q252:Q261" ca="1" si="227">IF(Q$249="","",IF(Q251=Q214,Q215,IF(Q214=$A$249,Q215,Q214)))</f>
        <v>Matt</v>
      </c>
      <c r="R252" s="13" t="str">
        <f t="shared" ref="R252:R261" ca="1" si="228">IF(R$249="","",IF(R251=R214,R215,IF(R214=$A$249,R215,R214)))</f>
        <v>Elena</v>
      </c>
      <c r="S252" s="13"/>
      <c r="T252" s="13"/>
      <c r="U252" s="13"/>
      <c r="V252" s="13"/>
    </row>
    <row r="253" spans="1:22" x14ac:dyDescent="0.25">
      <c r="A253" s="13"/>
      <c r="B253" s="13" t="str">
        <f t="shared" ca="1" si="211"/>
        <v>Christmas</v>
      </c>
      <c r="C253" s="13" t="str">
        <f t="shared" ca="1" si="213"/>
        <v/>
      </c>
      <c r="D253" s="13" t="str">
        <f t="shared" ca="1" si="214"/>
        <v/>
      </c>
      <c r="E253" s="13" t="str">
        <f t="shared" ca="1" si="215"/>
        <v>Cameron</v>
      </c>
      <c r="F253" s="13" t="str">
        <f t="shared" ca="1" si="216"/>
        <v>Megan</v>
      </c>
      <c r="G253" s="13" t="str">
        <f t="shared" ca="1" si="217"/>
        <v>Jason</v>
      </c>
      <c r="H253" s="13" t="str">
        <f t="shared" ca="1" si="218"/>
        <v/>
      </c>
      <c r="I253" s="13" t="str">
        <f t="shared" ca="1" si="219"/>
        <v>Jillian</v>
      </c>
      <c r="J253" s="13" t="str">
        <f t="shared" ca="1" si="220"/>
        <v>Elena</v>
      </c>
      <c r="K253" s="13" t="str">
        <f t="shared" ca="1" si="221"/>
        <v>Mark</v>
      </c>
      <c r="L253" s="13" t="str">
        <f t="shared" ca="1" si="222"/>
        <v>Alex</v>
      </c>
      <c r="M253" s="13" t="str">
        <f t="shared" ca="1" si="223"/>
        <v>Christmas</v>
      </c>
      <c r="N253" s="13" t="str">
        <f t="shared" ca="1" si="224"/>
        <v/>
      </c>
      <c r="O253" s="13" t="str">
        <f t="shared" ca="1" si="225"/>
        <v>Cameron</v>
      </c>
      <c r="P253" s="13" t="str">
        <f t="shared" ca="1" si="226"/>
        <v>Elena</v>
      </c>
      <c r="Q253" s="13" t="str">
        <f t="shared" ca="1" si="227"/>
        <v>Jillian</v>
      </c>
      <c r="R253" s="13" t="str">
        <f t="shared" ca="1" si="228"/>
        <v>Jason</v>
      </c>
      <c r="S253" s="13"/>
      <c r="T253" s="13"/>
      <c r="U253" s="13"/>
      <c r="V253" s="13"/>
    </row>
    <row r="254" spans="1:22" x14ac:dyDescent="0.25">
      <c r="A254" s="13"/>
      <c r="B254" s="13" t="str">
        <f t="shared" ca="1" si="211"/>
        <v>Cameron</v>
      </c>
      <c r="C254" s="13" t="str">
        <f t="shared" ca="1" si="213"/>
        <v/>
      </c>
      <c r="D254" s="13" t="str">
        <f t="shared" ca="1" si="214"/>
        <v/>
      </c>
      <c r="E254" s="13" t="str">
        <f t="shared" ca="1" si="215"/>
        <v>Alex</v>
      </c>
      <c r="F254" s="13" t="str">
        <f t="shared" ca="1" si="216"/>
        <v>Cameron</v>
      </c>
      <c r="G254" s="13" t="str">
        <f t="shared" ca="1" si="217"/>
        <v>Jillian</v>
      </c>
      <c r="H254" s="13" t="str">
        <f t="shared" ca="1" si="218"/>
        <v/>
      </c>
      <c r="I254" s="13" t="str">
        <f t="shared" ca="1" si="219"/>
        <v>Cameron</v>
      </c>
      <c r="J254" s="13" t="str">
        <f t="shared" ca="1" si="220"/>
        <v>Alex</v>
      </c>
      <c r="K254" s="13" t="str">
        <f t="shared" ca="1" si="221"/>
        <v>Jason</v>
      </c>
      <c r="L254" s="13" t="str">
        <f t="shared" ca="1" si="222"/>
        <v>Jessica</v>
      </c>
      <c r="M254" s="13" t="str">
        <f t="shared" ca="1" si="223"/>
        <v>Jillian</v>
      </c>
      <c r="N254" s="13" t="str">
        <f t="shared" ca="1" si="224"/>
        <v/>
      </c>
      <c r="O254" s="13" t="str">
        <f t="shared" ca="1" si="225"/>
        <v>Josh</v>
      </c>
      <c r="P254" s="13" t="str">
        <f t="shared" ca="1" si="226"/>
        <v>Raven</v>
      </c>
      <c r="Q254" s="13" t="str">
        <f t="shared" ca="1" si="227"/>
        <v>Megan</v>
      </c>
      <c r="R254" s="13" t="str">
        <f t="shared" ca="1" si="228"/>
        <v>Jillian</v>
      </c>
      <c r="S254" s="13"/>
      <c r="T254" s="13"/>
      <c r="U254" s="13"/>
      <c r="V254" s="13"/>
    </row>
    <row r="255" spans="1:22" x14ac:dyDescent="0.25">
      <c r="A255" s="13"/>
      <c r="B255" s="13" t="str">
        <f t="shared" ca="1" si="211"/>
        <v>Alex</v>
      </c>
      <c r="C255" s="13" t="str">
        <f t="shared" ca="1" si="213"/>
        <v/>
      </c>
      <c r="D255" s="13" t="str">
        <f t="shared" ca="1" si="214"/>
        <v/>
      </c>
      <c r="E255" s="13" t="str">
        <f t="shared" ca="1" si="215"/>
        <v>Josh</v>
      </c>
      <c r="F255" s="13" t="str">
        <f t="shared" ca="1" si="216"/>
        <v>Josh</v>
      </c>
      <c r="G255" s="13" t="str">
        <f t="shared" ca="1" si="217"/>
        <v>Elena</v>
      </c>
      <c r="H255" s="13" t="str">
        <f t="shared" ca="1" si="218"/>
        <v/>
      </c>
      <c r="I255" s="13" t="str">
        <f t="shared" ca="1" si="219"/>
        <v>Megan</v>
      </c>
      <c r="J255" s="13" t="str">
        <f t="shared" ca="1" si="220"/>
        <v>Cody</v>
      </c>
      <c r="K255" s="13" t="str">
        <f t="shared" ca="1" si="221"/>
        <v>Cody</v>
      </c>
      <c r="L255" s="13" t="str">
        <f t="shared" ca="1" si="222"/>
        <v>Mark</v>
      </c>
      <c r="M255" s="13" t="str">
        <f t="shared" ca="1" si="223"/>
        <v>Raven</v>
      </c>
      <c r="N255" s="13" t="str">
        <f t="shared" ca="1" si="224"/>
        <v/>
      </c>
      <c r="O255" s="13" t="str">
        <f t="shared" ca="1" si="225"/>
        <v>Jillian</v>
      </c>
      <c r="P255" s="13" t="str">
        <f t="shared" ca="1" si="226"/>
        <v>Jillian</v>
      </c>
      <c r="Q255" s="13" t="str">
        <f t="shared" ca="1" si="227"/>
        <v>Raven</v>
      </c>
      <c r="R255" s="13" t="str">
        <f t="shared" ca="1" si="228"/>
        <v>Megan</v>
      </c>
      <c r="S255" s="13"/>
      <c r="T255" s="13"/>
      <c r="U255" s="13"/>
      <c r="V255" s="13"/>
    </row>
    <row r="256" spans="1:22" x14ac:dyDescent="0.25">
      <c r="A256" s="13"/>
      <c r="B256" s="13" t="str">
        <f t="shared" ca="1" si="211"/>
        <v>Jason</v>
      </c>
      <c r="C256" s="13" t="str">
        <f t="shared" ca="1" si="213"/>
        <v/>
      </c>
      <c r="D256" s="13" t="str">
        <f t="shared" ca="1" si="214"/>
        <v/>
      </c>
      <c r="E256" s="13" t="str">
        <f t="shared" ca="1" si="215"/>
        <v>Jessica</v>
      </c>
      <c r="F256" s="13" t="str">
        <f t="shared" ca="1" si="216"/>
        <v>Jessica</v>
      </c>
      <c r="G256" s="13" t="str">
        <f t="shared" ca="1" si="217"/>
        <v>Cody</v>
      </c>
      <c r="H256" s="13" t="str">
        <f t="shared" ca="1" si="218"/>
        <v/>
      </c>
      <c r="I256" s="13" t="str">
        <f t="shared" ca="1" si="219"/>
        <v>Jason</v>
      </c>
      <c r="J256" s="13" t="str">
        <f t="shared" ca="1" si="220"/>
        <v>Christmas</v>
      </c>
      <c r="K256" s="13" t="str">
        <f t="shared" ca="1" si="221"/>
        <v>Cameron</v>
      </c>
      <c r="L256" s="13" t="str">
        <f t="shared" ca="1" si="222"/>
        <v>Cody</v>
      </c>
      <c r="M256" s="13" t="str">
        <f t="shared" ca="1" si="223"/>
        <v>Mark</v>
      </c>
      <c r="N256" s="13" t="str">
        <f t="shared" ca="1" si="224"/>
        <v/>
      </c>
      <c r="O256" s="13" t="str">
        <f t="shared" ca="1" si="225"/>
        <v>Jessica</v>
      </c>
      <c r="P256" s="13" t="str">
        <f t="shared" ca="1" si="226"/>
        <v>Alex</v>
      </c>
      <c r="Q256" s="13" t="str">
        <f t="shared" ca="1" si="227"/>
        <v>Jessica</v>
      </c>
      <c r="R256" s="13" t="str">
        <f t="shared" ca="1" si="228"/>
        <v>Josh</v>
      </c>
      <c r="S256" s="13"/>
      <c r="T256" s="13"/>
      <c r="U256" s="13"/>
      <c r="V256" s="13"/>
    </row>
    <row r="257" spans="1:22" x14ac:dyDescent="0.25">
      <c r="A257" s="13"/>
      <c r="B257" s="13" t="str">
        <f t="shared" ca="1" si="211"/>
        <v>Jillian</v>
      </c>
      <c r="C257" s="13" t="str">
        <f t="shared" ca="1" si="213"/>
        <v/>
      </c>
      <c r="D257" s="13" t="str">
        <f t="shared" ca="1" si="214"/>
        <v/>
      </c>
      <c r="E257" s="13" t="str">
        <f t="shared" ca="1" si="215"/>
        <v>Elena</v>
      </c>
      <c r="F257" s="13" t="str">
        <f t="shared" ca="1" si="216"/>
        <v>Mark</v>
      </c>
      <c r="G257" s="13" t="str">
        <f t="shared" ca="1" si="217"/>
        <v>Matt</v>
      </c>
      <c r="H257" s="13" t="str">
        <f t="shared" ca="1" si="218"/>
        <v/>
      </c>
      <c r="I257" s="13" t="str">
        <f t="shared" ca="1" si="219"/>
        <v>Jessica</v>
      </c>
      <c r="J257" s="13" t="str">
        <f t="shared" ca="1" si="220"/>
        <v>Josh</v>
      </c>
      <c r="K257" s="13" t="str">
        <f t="shared" ca="1" si="221"/>
        <v>Matt</v>
      </c>
      <c r="L257" s="13" t="str">
        <f t="shared" ca="1" si="222"/>
        <v>Josh</v>
      </c>
      <c r="M257" s="13" t="str">
        <f t="shared" ca="1" si="223"/>
        <v>Jason</v>
      </c>
      <c r="N257" s="13" t="str">
        <f t="shared" ca="1" si="224"/>
        <v/>
      </c>
      <c r="O257" s="13" t="str">
        <f t="shared" ca="1" si="225"/>
        <v>Jason</v>
      </c>
      <c r="P257" s="13" t="str">
        <f t="shared" ca="1" si="226"/>
        <v>Jason</v>
      </c>
      <c r="Q257" s="13" t="str">
        <f t="shared" ca="1" si="227"/>
        <v>Josh</v>
      </c>
      <c r="R257" s="13" t="str">
        <f t="shared" ca="1" si="228"/>
        <v>Christmas</v>
      </c>
      <c r="S257" s="13"/>
      <c r="T257" s="13"/>
      <c r="U257" s="13"/>
      <c r="V257" s="13"/>
    </row>
    <row r="258" spans="1:22" x14ac:dyDescent="0.25">
      <c r="A258" s="13"/>
      <c r="B258" s="13" t="str">
        <f t="shared" ca="1" si="211"/>
        <v>Josh</v>
      </c>
      <c r="C258" s="13" t="str">
        <f t="shared" ca="1" si="213"/>
        <v/>
      </c>
      <c r="D258" s="13" t="str">
        <f t="shared" ca="1" si="214"/>
        <v/>
      </c>
      <c r="E258" s="13" t="str">
        <f t="shared" ca="1" si="215"/>
        <v>Cody</v>
      </c>
      <c r="F258" s="13" t="str">
        <f t="shared" ca="1" si="216"/>
        <v>Jillian</v>
      </c>
      <c r="G258" s="13" t="str">
        <f t="shared" ca="1" si="217"/>
        <v>Cameron</v>
      </c>
      <c r="H258" s="13" t="str">
        <f t="shared" ca="1" si="218"/>
        <v/>
      </c>
      <c r="I258" s="13" t="str">
        <f t="shared" ca="1" si="219"/>
        <v>Raven</v>
      </c>
      <c r="J258" s="13" t="str">
        <f t="shared" ca="1" si="220"/>
        <v>Mark</v>
      </c>
      <c r="K258" s="13" t="str">
        <f t="shared" ca="1" si="221"/>
        <v>Alex</v>
      </c>
      <c r="L258" s="13" t="str">
        <f t="shared" ca="1" si="222"/>
        <v>Elena</v>
      </c>
      <c r="M258" s="13" t="str">
        <f t="shared" ca="1" si="223"/>
        <v>Megan</v>
      </c>
      <c r="N258" s="13" t="str">
        <f t="shared" ca="1" si="224"/>
        <v/>
      </c>
      <c r="O258" s="13" t="str">
        <f t="shared" ca="1" si="225"/>
        <v>Mark</v>
      </c>
      <c r="P258" s="13" t="str">
        <f t="shared" ca="1" si="226"/>
        <v>Cameron</v>
      </c>
      <c r="Q258" s="13" t="str">
        <f t="shared" ca="1" si="227"/>
        <v>Christmas</v>
      </c>
      <c r="R258" s="13" t="str">
        <f t="shared" ca="1" si="228"/>
        <v>Jessica</v>
      </c>
      <c r="S258" s="13"/>
      <c r="T258" s="13"/>
      <c r="U258" s="13"/>
      <c r="V258" s="13"/>
    </row>
    <row r="259" spans="1:22" x14ac:dyDescent="0.25">
      <c r="A259" s="13"/>
      <c r="B259" s="13" t="str">
        <f t="shared" ca="1" si="211"/>
        <v>Matt</v>
      </c>
      <c r="C259" s="13" t="str">
        <f t="shared" ca="1" si="213"/>
        <v/>
      </c>
      <c r="D259" s="13" t="str">
        <f t="shared" ca="1" si="214"/>
        <v/>
      </c>
      <c r="E259" s="13" t="str">
        <f t="shared" ca="1" si="215"/>
        <v>Raven</v>
      </c>
      <c r="F259" s="13" t="str">
        <f t="shared" ca="1" si="216"/>
        <v>Raven</v>
      </c>
      <c r="G259" s="13" t="str">
        <f t="shared" ca="1" si="217"/>
        <v>Josh</v>
      </c>
      <c r="H259" s="13" t="str">
        <f t="shared" ca="1" si="218"/>
        <v/>
      </c>
      <c r="I259" s="13" t="str">
        <f t="shared" ca="1" si="219"/>
        <v>Mark</v>
      </c>
      <c r="J259" s="13" t="str">
        <f t="shared" ca="1" si="220"/>
        <v>Raven</v>
      </c>
      <c r="K259" s="13" t="str">
        <f t="shared" ca="1" si="221"/>
        <v>Megan</v>
      </c>
      <c r="L259" s="13" t="str">
        <f t="shared" ca="1" si="222"/>
        <v>Raven</v>
      </c>
      <c r="M259" s="13" t="str">
        <f t="shared" ca="1" si="223"/>
        <v>Cameron</v>
      </c>
      <c r="N259" s="13" t="str">
        <f t="shared" ca="1" si="224"/>
        <v/>
      </c>
      <c r="O259" s="13" t="str">
        <f t="shared" ca="1" si="225"/>
        <v>Alex</v>
      </c>
      <c r="P259" s="13" t="str">
        <f t="shared" ca="1" si="226"/>
        <v>Josh</v>
      </c>
      <c r="Q259" s="13" t="str">
        <f t="shared" ca="1" si="227"/>
        <v>Mark</v>
      </c>
      <c r="R259" s="13" t="str">
        <f t="shared" ca="1" si="228"/>
        <v>Raven</v>
      </c>
      <c r="S259" s="13"/>
      <c r="T259" s="13"/>
      <c r="U259" s="13"/>
      <c r="V259" s="13"/>
    </row>
    <row r="260" spans="1:22" x14ac:dyDescent="0.25">
      <c r="A260" s="13"/>
      <c r="B260" s="13" t="str">
        <f t="shared" ca="1" si="211"/>
        <v>Mark</v>
      </c>
      <c r="C260" s="13" t="str">
        <f t="shared" ca="1" si="213"/>
        <v/>
      </c>
      <c r="D260" s="13" t="str">
        <f t="shared" ca="1" si="214"/>
        <v/>
      </c>
      <c r="E260" s="13" t="str">
        <f t="shared" ca="1" si="215"/>
        <v>Mark</v>
      </c>
      <c r="F260" s="13" t="str">
        <f t="shared" ca="1" si="216"/>
        <v>Elena</v>
      </c>
      <c r="G260" s="13" t="str">
        <f t="shared" ca="1" si="217"/>
        <v>Raven</v>
      </c>
      <c r="H260" s="13" t="str">
        <f t="shared" ca="1" si="218"/>
        <v/>
      </c>
      <c r="I260" s="13" t="str">
        <f t="shared" ca="1" si="219"/>
        <v>Christmas</v>
      </c>
      <c r="J260" s="13" t="str">
        <f t="shared" ca="1" si="220"/>
        <v>Jessica</v>
      </c>
      <c r="K260" s="13" t="str">
        <f t="shared" ca="1" si="221"/>
        <v>Josh</v>
      </c>
      <c r="L260" s="13" t="str">
        <f t="shared" ca="1" si="222"/>
        <v>Christmas</v>
      </c>
      <c r="M260" s="13" t="str">
        <f t="shared" ca="1" si="223"/>
        <v>Matt</v>
      </c>
      <c r="N260" s="13" t="str">
        <f t="shared" ca="1" si="224"/>
        <v/>
      </c>
      <c r="O260" s="13" t="str">
        <f t="shared" ca="1" si="225"/>
        <v>Megan</v>
      </c>
      <c r="P260" s="13" t="str">
        <f t="shared" ca="1" si="226"/>
        <v>Megan</v>
      </c>
      <c r="Q260" s="13" t="str">
        <f t="shared" ca="1" si="227"/>
        <v>Jason</v>
      </c>
      <c r="R260" s="13" t="str">
        <f t="shared" ca="1" si="228"/>
        <v>Cody</v>
      </c>
      <c r="S260" s="13"/>
      <c r="T260" s="13"/>
      <c r="U260" s="13"/>
      <c r="V260" s="13"/>
    </row>
    <row r="261" spans="1:22" x14ac:dyDescent="0.25">
      <c r="A261" s="13"/>
      <c r="B261" s="13" t="str">
        <f t="shared" ca="1" si="211"/>
        <v>Megan</v>
      </c>
      <c r="C261" s="13" t="str">
        <f t="shared" ca="1" si="213"/>
        <v/>
      </c>
      <c r="D261" s="13" t="str">
        <f t="shared" ca="1" si="214"/>
        <v/>
      </c>
      <c r="E261" s="13" t="str">
        <f t="shared" ca="1" si="215"/>
        <v>Christmas</v>
      </c>
      <c r="F261" s="13" t="str">
        <f t="shared" ca="1" si="216"/>
        <v>Alex</v>
      </c>
      <c r="G261" s="13" t="str">
        <f t="shared" ca="1" si="217"/>
        <v>Megan</v>
      </c>
      <c r="H261" s="13" t="str">
        <f t="shared" ca="1" si="218"/>
        <v/>
      </c>
      <c r="I261" s="13" t="str">
        <f t="shared" ca="1" si="219"/>
        <v>Elena</v>
      </c>
      <c r="J261" s="13" t="str">
        <f t="shared" ca="1" si="220"/>
        <v>Matt</v>
      </c>
      <c r="K261" s="13" t="str">
        <f t="shared" ca="1" si="221"/>
        <v>Jillian</v>
      </c>
      <c r="L261" s="13" t="str">
        <f t="shared" ca="1" si="222"/>
        <v>Cameron</v>
      </c>
      <c r="M261" s="13" t="str">
        <f t="shared" ca="1" si="223"/>
        <v>Josh</v>
      </c>
      <c r="N261" s="13" t="str">
        <f t="shared" ca="1" si="224"/>
        <v/>
      </c>
      <c r="O261" s="13" t="str">
        <f t="shared" ca="1" si="225"/>
        <v>Christmas</v>
      </c>
      <c r="P261" s="13" t="str">
        <f t="shared" ca="1" si="226"/>
        <v>Cody</v>
      </c>
      <c r="Q261" s="13" t="str">
        <f t="shared" ca="1" si="227"/>
        <v>Elena</v>
      </c>
      <c r="R261" s="13" t="str">
        <f t="shared" ca="1" si="228"/>
        <v>Matt</v>
      </c>
      <c r="S261" s="13"/>
      <c r="T261" s="13"/>
      <c r="U261" s="13"/>
      <c r="V261" s="13"/>
    </row>
    <row r="262" spans="1:2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x14ac:dyDescent="0.25">
      <c r="B263" s="47" t="str">
        <f t="shared" ref="B263:R263" ca="1" si="229">IF(B249="","",B249)</f>
        <v>Raven</v>
      </c>
      <c r="C263" s="47" t="str">
        <f t="shared" ca="1" si="229"/>
        <v/>
      </c>
      <c r="D263" s="47" t="str">
        <f t="shared" ca="1" si="229"/>
        <v/>
      </c>
      <c r="E263" s="47" t="str">
        <f t="shared" ca="1" si="229"/>
        <v>Megan</v>
      </c>
      <c r="F263" s="47" t="str">
        <f t="shared" ca="1" si="229"/>
        <v>Matt</v>
      </c>
      <c r="G263" s="47" t="str">
        <f t="shared" ca="1" si="229"/>
        <v>Mark</v>
      </c>
      <c r="H263" s="47" t="str">
        <f t="shared" ca="1" si="229"/>
        <v/>
      </c>
      <c r="I263" s="47" t="str">
        <f t="shared" ca="1" si="229"/>
        <v>Josh</v>
      </c>
      <c r="J263" s="47" t="str">
        <f t="shared" ca="1" si="229"/>
        <v>Jillian</v>
      </c>
      <c r="K263" s="47" t="str">
        <f t="shared" ca="1" si="229"/>
        <v>Jessica</v>
      </c>
      <c r="L263" s="47" t="str">
        <f t="shared" ca="1" si="229"/>
        <v>Jason</v>
      </c>
      <c r="M263" s="47" t="str">
        <f t="shared" ca="1" si="229"/>
        <v>Elena</v>
      </c>
      <c r="N263" s="47" t="str">
        <f t="shared" ca="1" si="229"/>
        <v/>
      </c>
      <c r="O263" s="47" t="str">
        <f t="shared" ca="1" si="229"/>
        <v>Cody</v>
      </c>
      <c r="P263" s="47" t="str">
        <f t="shared" ca="1" si="229"/>
        <v>Christmas</v>
      </c>
      <c r="Q263" s="47" t="str">
        <f t="shared" ca="1" si="229"/>
        <v>Cameron</v>
      </c>
      <c r="R263" s="47" t="str">
        <f t="shared" ca="1" si="229"/>
        <v>Alex</v>
      </c>
      <c r="S263" s="13"/>
      <c r="T263" s="13"/>
      <c r="U263" s="13"/>
      <c r="V263" s="13"/>
    </row>
    <row r="264" spans="1:22" x14ac:dyDescent="0.25">
      <c r="A264" s="13" t="str">
        <f ca="1">Game!H771</f>
        <v>Josh</v>
      </c>
      <c r="B264" s="13">
        <f ca="1">IF(B263="","",INDEX(B$2:B$18,MATCH($A264,$A$2:$A$18,0)))</f>
        <v>16.322321659313264</v>
      </c>
      <c r="C264" s="13" t="str">
        <f t="shared" ref="C264" ca="1" si="230">IF(C263="","",INDEX(C$2:C$18,MATCH($A264,$A$2:$A$18,0)))</f>
        <v/>
      </c>
      <c r="D264" s="13" t="str">
        <f ca="1">IF(D263="","",INDEX(D$2:D$18,MATCH($A264,$A$2:$A$18,0)))</f>
        <v/>
      </c>
      <c r="E264" s="13">
        <f t="shared" ref="E264:Q264" ca="1" si="231">IF(E263="","",INDEX(E$2:E$18,MATCH($A264,$A$2:$A$18,0)))</f>
        <v>39.032209215594364</v>
      </c>
      <c r="F264" s="13">
        <f t="shared" ca="1" si="231"/>
        <v>68.143352648752639</v>
      </c>
      <c r="G264" s="13">
        <f t="shared" ca="1" si="231"/>
        <v>15.422138284256448</v>
      </c>
      <c r="H264" s="13" t="str">
        <f t="shared" ca="1" si="231"/>
        <v/>
      </c>
      <c r="I264" s="13">
        <f t="shared" ca="1" si="231"/>
        <v>101</v>
      </c>
      <c r="J264" s="13">
        <f t="shared" ca="1" si="231"/>
        <v>43.203446070435945</v>
      </c>
      <c r="K264" s="13">
        <f t="shared" ca="1" si="231"/>
        <v>27.107808049853908</v>
      </c>
      <c r="L264" s="13">
        <f t="shared" ca="1" si="231"/>
        <v>36.113202703490856</v>
      </c>
      <c r="M264" s="13">
        <f t="shared" ca="1" si="231"/>
        <v>1.1992803304611785</v>
      </c>
      <c r="N264" s="13" t="str">
        <f t="shared" ca="1" si="231"/>
        <v/>
      </c>
      <c r="O264" s="13">
        <f t="shared" ca="1" si="231"/>
        <v>68.054883665149632</v>
      </c>
      <c r="P264" s="13">
        <f t="shared" ca="1" si="231"/>
        <v>15.17715993671249</v>
      </c>
      <c r="Q264" s="13">
        <f t="shared" ca="1" si="231"/>
        <v>41.253573787864298</v>
      </c>
      <c r="R264" s="13">
        <f ca="1">IF(R263="","",INDEX(R$2:R$18,MATCH($A264,$A$2:$A$18,0)))</f>
        <v>43.418986695772595</v>
      </c>
      <c r="S264" s="13"/>
      <c r="T264" s="13"/>
      <c r="U264" s="13"/>
      <c r="V264" s="13"/>
    </row>
    <row r="265" spans="1:2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x14ac:dyDescent="0.25">
      <c r="A266" s="13"/>
      <c r="B266" s="13" t="str">
        <f t="shared" ref="B266:R266" ca="1" si="232">B263</f>
        <v>Raven</v>
      </c>
      <c r="C266" s="13" t="str">
        <f t="shared" ca="1" si="232"/>
        <v/>
      </c>
      <c r="D266" s="13" t="str">
        <f t="shared" ca="1" si="232"/>
        <v/>
      </c>
      <c r="E266" s="13" t="str">
        <f t="shared" ca="1" si="232"/>
        <v>Megan</v>
      </c>
      <c r="F266" s="13" t="str">
        <f t="shared" ca="1" si="232"/>
        <v>Matt</v>
      </c>
      <c r="G266" s="13" t="str">
        <f t="shared" ca="1" si="232"/>
        <v>Mark</v>
      </c>
      <c r="H266" s="13" t="str">
        <f t="shared" ca="1" si="232"/>
        <v/>
      </c>
      <c r="I266" s="13" t="str">
        <f t="shared" ca="1" si="232"/>
        <v>Josh</v>
      </c>
      <c r="J266" s="13" t="str">
        <f t="shared" ca="1" si="232"/>
        <v>Jillian</v>
      </c>
      <c r="K266" s="13" t="str">
        <f t="shared" ca="1" si="232"/>
        <v>Jessica</v>
      </c>
      <c r="L266" s="13" t="str">
        <f t="shared" ca="1" si="232"/>
        <v>Jason</v>
      </c>
      <c r="M266" s="13" t="str">
        <f t="shared" ca="1" si="232"/>
        <v>Elena</v>
      </c>
      <c r="N266" s="13" t="str">
        <f t="shared" ca="1" si="232"/>
        <v/>
      </c>
      <c r="O266" s="13" t="str">
        <f t="shared" ca="1" si="232"/>
        <v>Cody</v>
      </c>
      <c r="P266" s="13" t="str">
        <f t="shared" ca="1" si="232"/>
        <v>Christmas</v>
      </c>
      <c r="Q266" s="13" t="str">
        <f t="shared" ca="1" si="232"/>
        <v>Cameron</v>
      </c>
      <c r="R266" s="13" t="str">
        <f t="shared" ca="1" si="232"/>
        <v>Alex</v>
      </c>
      <c r="S266" s="13"/>
      <c r="T266" s="13"/>
      <c r="U266" s="13"/>
      <c r="V266" s="13"/>
    </row>
    <row r="267" spans="1:22" x14ac:dyDescent="0.25">
      <c r="A267" s="13" t="str">
        <f ca="1">Game!D759</f>
        <v>Raven</v>
      </c>
      <c r="B267" s="13">
        <f t="shared" ref="B267:R267" ca="1" si="233">IF(B266="","",INDEX(B$2:B$18,MATCH($A267,$A$2:$A$18,0)))</f>
        <v>101</v>
      </c>
      <c r="C267" s="13" t="str">
        <f t="shared" ca="1" si="233"/>
        <v/>
      </c>
      <c r="D267" s="13" t="str">
        <f t="shared" ca="1" si="233"/>
        <v/>
      </c>
      <c r="E267" s="13">
        <f t="shared" ca="1" si="233"/>
        <v>10.140565248618941</v>
      </c>
      <c r="F267" s="13">
        <f t="shared" ca="1" si="233"/>
        <v>16.041606218120869</v>
      </c>
      <c r="G267" s="13">
        <f t="shared" ca="1" si="233"/>
        <v>14.404075662040396</v>
      </c>
      <c r="H267" s="13" t="str">
        <f t="shared" ca="1" si="233"/>
        <v/>
      </c>
      <c r="I267" s="13">
        <f t="shared" ca="1" si="233"/>
        <v>16.322321659313264</v>
      </c>
      <c r="J267" s="13">
        <f t="shared" ca="1" si="233"/>
        <v>25.012998050500968</v>
      </c>
      <c r="K267" s="13">
        <f t="shared" ca="1" si="233"/>
        <v>82.335943293871836</v>
      </c>
      <c r="L267" s="13">
        <f t="shared" ca="1" si="233"/>
        <v>26.449699295094824</v>
      </c>
      <c r="M267" s="13">
        <f t="shared" ca="1" si="233"/>
        <v>56.2767320805171</v>
      </c>
      <c r="N267" s="13" t="str">
        <f t="shared" ca="1" si="233"/>
        <v/>
      </c>
      <c r="O267" s="13">
        <f t="shared" ca="1" si="233"/>
        <v>73.03778757742748</v>
      </c>
      <c r="P267" s="13">
        <f t="shared" ca="1" si="233"/>
        <v>49.206725336114673</v>
      </c>
      <c r="Q267" s="13">
        <f t="shared" ca="1" si="233"/>
        <v>47.409368445659858</v>
      </c>
      <c r="R267" s="13">
        <f t="shared" ca="1" si="233"/>
        <v>27.072683409527087</v>
      </c>
      <c r="S267" s="13"/>
      <c r="T267" s="13"/>
      <c r="U267" s="13"/>
      <c r="V267" s="13"/>
    </row>
    <row r="268" spans="1:2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x14ac:dyDescent="0.25">
      <c r="A269" t="s">
        <v>113</v>
      </c>
      <c r="B269" t="str">
        <f ca="1">Game!F823</f>
        <v>Elena</v>
      </c>
      <c r="C269" t="str">
        <f ca="1">Game!F824</f>
        <v>Mark</v>
      </c>
      <c r="D269" t="str">
        <f ca="1">Game!F825</f>
        <v>Raven</v>
      </c>
      <c r="E269" s="13"/>
      <c r="F269" s="13"/>
      <c r="G269" s="13"/>
      <c r="H269" s="13"/>
      <c r="I269" s="13"/>
      <c r="J269" s="13"/>
      <c r="K269" s="13"/>
      <c r="L269" s="13"/>
      <c r="M269" s="13"/>
      <c r="N269" s="13"/>
      <c r="O269" s="13"/>
      <c r="P269" s="13"/>
      <c r="Q269" s="13"/>
      <c r="R269" s="13"/>
      <c r="S269" s="13"/>
      <c r="T269" s="13"/>
      <c r="U269" s="13"/>
      <c r="V269" s="13"/>
    </row>
    <row r="270" spans="1:22" x14ac:dyDescent="0.25">
      <c r="A270">
        <f>A239</f>
        <v>65</v>
      </c>
      <c r="B270" t="str">
        <f ca="1">IF(COUNTIF($B269:$D269,B$1)=0,"",B$1)</f>
        <v>Raven</v>
      </c>
      <c r="C270" t="str">
        <f t="shared" ref="C270:R270" ca="1" si="234">IF(COUNTIF($B269:$D269,C$1)=0,"",C$1)</f>
        <v/>
      </c>
      <c r="D270" t="str">
        <f t="shared" ca="1" si="234"/>
        <v/>
      </c>
      <c r="E270" t="str">
        <f t="shared" ca="1" si="234"/>
        <v/>
      </c>
      <c r="F270" t="str">
        <f t="shared" ca="1" si="234"/>
        <v/>
      </c>
      <c r="G270" t="str">
        <f t="shared" ca="1" si="234"/>
        <v>Mark</v>
      </c>
      <c r="H270" t="str">
        <f t="shared" ca="1" si="234"/>
        <v/>
      </c>
      <c r="I270" t="str">
        <f t="shared" ca="1" si="234"/>
        <v/>
      </c>
      <c r="J270" t="str">
        <f t="shared" ca="1" si="234"/>
        <v/>
      </c>
      <c r="K270" t="str">
        <f t="shared" ca="1" si="234"/>
        <v/>
      </c>
      <c r="L270" t="str">
        <f t="shared" ca="1" si="234"/>
        <v/>
      </c>
      <c r="M270" t="str">
        <f t="shared" ca="1" si="234"/>
        <v>Elena</v>
      </c>
      <c r="N270" t="str">
        <f t="shared" ca="1" si="234"/>
        <v/>
      </c>
      <c r="O270" t="str">
        <f t="shared" ca="1" si="234"/>
        <v/>
      </c>
      <c r="P270" t="str">
        <f t="shared" ca="1" si="234"/>
        <v/>
      </c>
      <c r="Q270" t="str">
        <f t="shared" ca="1" si="234"/>
        <v/>
      </c>
      <c r="R270" t="str">
        <f t="shared" ca="1" si="234"/>
        <v/>
      </c>
      <c r="S270" s="13"/>
      <c r="T270" s="13"/>
      <c r="U270" s="13"/>
      <c r="V270" s="13"/>
    </row>
    <row r="271" spans="1:22" x14ac:dyDescent="0.25">
      <c r="A271" t="str">
        <f ca="1">Game!H846</f>
        <v>Raven</v>
      </c>
      <c r="B271">
        <f ca="1">IF(B270="","",INDEX(B$2:B$18,MATCH($A$271,$A$2:$A$18,0)))</f>
        <v>101</v>
      </c>
      <c r="C271" t="str">
        <f ca="1">IF(C270="","",INDEX(C$2:C$18,MATCH($A$271,$A$2:$A$18,0)))</f>
        <v/>
      </c>
      <c r="D271" t="str">
        <f t="shared" ref="D271:R271" ca="1" si="235">IF(D270="","",INDEX(D$2:D$18,MATCH($A$271,$A$2:$A$18,0)))</f>
        <v/>
      </c>
      <c r="E271" t="str">
        <f t="shared" ca="1" si="235"/>
        <v/>
      </c>
      <c r="F271" t="str">
        <f t="shared" ca="1" si="235"/>
        <v/>
      </c>
      <c r="G271">
        <f t="shared" ca="1" si="235"/>
        <v>14.404075662040396</v>
      </c>
      <c r="H271" t="str">
        <f t="shared" ca="1" si="235"/>
        <v/>
      </c>
      <c r="I271" t="str">
        <f t="shared" ca="1" si="235"/>
        <v/>
      </c>
      <c r="J271" t="str">
        <f t="shared" ca="1" si="235"/>
        <v/>
      </c>
      <c r="K271" t="str">
        <f t="shared" ca="1" si="235"/>
        <v/>
      </c>
      <c r="L271" t="str">
        <f t="shared" ca="1" si="235"/>
        <v/>
      </c>
      <c r="M271">
        <f t="shared" ca="1" si="235"/>
        <v>56.2767320805171</v>
      </c>
      <c r="N271" t="str">
        <f t="shared" ca="1" si="235"/>
        <v/>
      </c>
      <c r="O271" t="str">
        <f t="shared" ca="1" si="235"/>
        <v/>
      </c>
      <c r="P271" t="str">
        <f t="shared" ca="1" si="235"/>
        <v/>
      </c>
      <c r="Q271" t="str">
        <f t="shared" ca="1" si="235"/>
        <v/>
      </c>
      <c r="R271" t="str">
        <f t="shared" ca="1" si="235"/>
        <v/>
      </c>
      <c r="S271" s="13"/>
      <c r="T271" s="13"/>
      <c r="U271" s="13"/>
      <c r="V271" s="13"/>
    </row>
    <row r="272" spans="1:22" x14ac:dyDescent="0.25">
      <c r="A272">
        <f ca="1">LARGE(B271:R271,1)</f>
        <v>101</v>
      </c>
      <c r="E272" s="13"/>
      <c r="F272" s="13"/>
      <c r="G272" s="13"/>
      <c r="H272" s="13"/>
      <c r="I272" s="13"/>
      <c r="J272" s="13"/>
      <c r="K272" s="13"/>
      <c r="L272" s="13"/>
      <c r="M272" s="13"/>
      <c r="N272" s="13"/>
      <c r="O272" s="13"/>
      <c r="P272" s="13"/>
      <c r="Q272" s="13"/>
      <c r="R272" s="13"/>
      <c r="S272" s="13"/>
      <c r="T272" s="13"/>
      <c r="U272" s="13"/>
      <c r="V272" s="13"/>
    </row>
    <row r="273" spans="1:22" x14ac:dyDescent="0.25">
      <c r="A273" t="str">
        <f ca="1">IF(A272&lt;=A270-1,IF(D269="","Neither Nominee","Nobody"),INDEX(B270:R270,MATCH(A272,B271:R271,0)))</f>
        <v>Raven</v>
      </c>
      <c r="E273" s="13"/>
      <c r="F273" s="13"/>
      <c r="G273" s="13"/>
      <c r="H273" s="13"/>
      <c r="I273" s="13"/>
      <c r="J273" s="13"/>
      <c r="K273" s="13"/>
      <c r="L273" s="13"/>
      <c r="M273" s="13"/>
      <c r="N273" s="13"/>
      <c r="O273" s="13"/>
      <c r="P273" s="13"/>
      <c r="Q273" s="13"/>
      <c r="R273" s="13"/>
      <c r="S273" s="13"/>
      <c r="T273" s="13"/>
      <c r="U273" s="13"/>
      <c r="V273" s="13"/>
    </row>
    <row r="274" spans="1:2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x14ac:dyDescent="0.25">
      <c r="A275" t="s">
        <v>113</v>
      </c>
      <c r="B275" s="13" t="str">
        <f ca="1">Game!G860</f>
        <v>Elena</v>
      </c>
      <c r="C275" s="13" t="str">
        <f ca="1">Game!H860</f>
        <v>Mark</v>
      </c>
      <c r="D275" s="13" t="str">
        <f ca="1">Game!I860</f>
        <v/>
      </c>
      <c r="E275" s="13"/>
      <c r="F275" s="13"/>
      <c r="G275" s="13"/>
      <c r="H275" s="13"/>
      <c r="I275" s="13"/>
      <c r="J275" s="13"/>
      <c r="K275" s="13"/>
      <c r="L275" s="13"/>
      <c r="M275" s="13"/>
      <c r="N275" s="13"/>
      <c r="O275" s="13"/>
      <c r="P275" s="13"/>
      <c r="Q275" s="13"/>
      <c r="R275" s="13"/>
      <c r="S275" s="13"/>
      <c r="T275" s="13"/>
      <c r="U275" s="13"/>
      <c r="V275" s="13"/>
    </row>
    <row r="276" spans="1:22" x14ac:dyDescent="0.25">
      <c r="A276">
        <f>A270</f>
        <v>65</v>
      </c>
      <c r="B276" t="str">
        <f ca="1">IF(COUNTIF($B275:$D275,B$1)=0,"",B$1)</f>
        <v/>
      </c>
      <c r="C276" t="str">
        <f t="shared" ref="C276:R276" ca="1" si="236">IF(COUNTIF($B275:$D275,C$1)=0,"",C$1)</f>
        <v/>
      </c>
      <c r="D276" t="str">
        <f t="shared" ca="1" si="236"/>
        <v/>
      </c>
      <c r="E276" t="str">
        <f t="shared" ca="1" si="236"/>
        <v/>
      </c>
      <c r="F276" t="str">
        <f t="shared" ca="1" si="236"/>
        <v/>
      </c>
      <c r="G276" t="str">
        <f t="shared" ca="1" si="236"/>
        <v>Mark</v>
      </c>
      <c r="H276" t="str">
        <f t="shared" ca="1" si="236"/>
        <v/>
      </c>
      <c r="I276" t="str">
        <f t="shared" ca="1" si="236"/>
        <v/>
      </c>
      <c r="J276" t="str">
        <f t="shared" ca="1" si="236"/>
        <v/>
      </c>
      <c r="K276" t="str">
        <f t="shared" ca="1" si="236"/>
        <v/>
      </c>
      <c r="L276" t="str">
        <f t="shared" ca="1" si="236"/>
        <v/>
      </c>
      <c r="M276" t="str">
        <f t="shared" ca="1" si="236"/>
        <v>Elena</v>
      </c>
      <c r="N276" t="str">
        <f t="shared" ca="1" si="236"/>
        <v/>
      </c>
      <c r="O276" t="str">
        <f t="shared" ca="1" si="236"/>
        <v/>
      </c>
      <c r="P276" t="str">
        <f t="shared" ca="1" si="236"/>
        <v/>
      </c>
      <c r="Q276" t="str">
        <f t="shared" ca="1" si="236"/>
        <v/>
      </c>
      <c r="R276" t="str">
        <f t="shared" ca="1" si="236"/>
        <v/>
      </c>
      <c r="S276" s="13"/>
      <c r="T276" s="13"/>
      <c r="U276" s="13"/>
      <c r="V276" s="13"/>
    </row>
    <row r="277" spans="1:22" x14ac:dyDescent="0.25">
      <c r="A277" s="13" t="str">
        <f ca="1">Game!G509</f>
        <v>Matt</v>
      </c>
      <c r="B277" t="str">
        <f t="shared" ref="B277:O277" ca="1" si="237">IF(B276="","",INDEX(B$2:B$18,MATCH($A$154,$A$2:$A$18,0)))</f>
        <v/>
      </c>
      <c r="C277" t="str">
        <f t="shared" ca="1" si="237"/>
        <v/>
      </c>
      <c r="D277" t="str">
        <f t="shared" ca="1" si="237"/>
        <v/>
      </c>
      <c r="E277" t="str">
        <f t="shared" ca="1" si="237"/>
        <v/>
      </c>
      <c r="F277" t="str">
        <f t="shared" ca="1" si="237"/>
        <v/>
      </c>
      <c r="G277">
        <f t="shared" ca="1" si="237"/>
        <v>24.202774351677192</v>
      </c>
      <c r="H277" t="str">
        <f t="shared" ca="1" si="237"/>
        <v/>
      </c>
      <c r="I277" t="str">
        <f t="shared" ca="1" si="237"/>
        <v/>
      </c>
      <c r="J277" t="str">
        <f t="shared" ca="1" si="237"/>
        <v/>
      </c>
      <c r="K277" t="str">
        <f t="shared" ca="1" si="237"/>
        <v/>
      </c>
      <c r="L277" t="str">
        <f t="shared" ca="1" si="237"/>
        <v/>
      </c>
      <c r="M277">
        <f t="shared" ca="1" si="237"/>
        <v>5.1215439768423332</v>
      </c>
      <c r="N277" t="str">
        <f t="shared" ca="1" si="237"/>
        <v/>
      </c>
      <c r="O277" t="str">
        <f t="shared" ca="1" si="237"/>
        <v/>
      </c>
      <c r="P277" t="str">
        <f ca="1">IF(P276="","",INDEX(P$2:P$18,MATCH($A$154,$A$2:$A$18,0)))</f>
        <v/>
      </c>
      <c r="Q277" t="str">
        <f t="shared" ref="Q277:R277" ca="1" si="238">IF(Q276="","",INDEX(Q$2:Q$18,MATCH($A$154,$A$2:$A$18,0)))</f>
        <v/>
      </c>
      <c r="R277" t="str">
        <f t="shared" ca="1" si="238"/>
        <v/>
      </c>
      <c r="S277" s="13"/>
      <c r="T277" s="13"/>
      <c r="U277" s="13"/>
      <c r="V277" s="13"/>
    </row>
    <row r="278" spans="1:22" x14ac:dyDescent="0.25">
      <c r="A278" s="13" t="str">
        <f ca="1">IF(G278&lt;=F278,"Halt","No")</f>
        <v>No</v>
      </c>
      <c r="B278" s="13">
        <f ca="1">LARGE(B277:R277,1)</f>
        <v>24.202774351677192</v>
      </c>
      <c r="C278" s="13">
        <f ca="1">LARGE(B277:R277,2)</f>
        <v>5.1215439768423332</v>
      </c>
      <c r="D278" s="13" t="str">
        <f ca="1">IF(D275="","",LARGE(B277:R277,3))</f>
        <v/>
      </c>
      <c r="E278" s="13">
        <f ca="1">IF(D278="",2,3)</f>
        <v>2</v>
      </c>
      <c r="F278" s="13">
        <f ca="1">COUNTIF(B278:D278,"&gt;="&amp;A276)-0.1</f>
        <v>-0.1</v>
      </c>
      <c r="G278" s="13">
        <f ca="1">RANDBETWEEN(0,E278-1)</f>
        <v>0</v>
      </c>
      <c r="H278" s="13"/>
      <c r="I278" s="13"/>
      <c r="J278" s="13"/>
      <c r="K278" s="13"/>
      <c r="L278" s="13"/>
      <c r="M278" s="13"/>
      <c r="N278" s="13"/>
      <c r="O278" s="13"/>
      <c r="P278" s="13"/>
      <c r="Q278" s="13"/>
      <c r="R278" s="13"/>
      <c r="S278" s="13"/>
      <c r="T278" s="13"/>
      <c r="U278" s="13"/>
      <c r="V278" s="13"/>
    </row>
    <row r="279" spans="1:2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x14ac:dyDescent="0.25">
      <c r="A280" s="13"/>
      <c r="B280" s="13" t="str">
        <f t="shared" ref="B280:R280" ca="1" si="239">B249</f>
        <v>Raven</v>
      </c>
      <c r="C280" s="13" t="str">
        <f t="shared" ca="1" si="239"/>
        <v/>
      </c>
      <c r="D280" s="13" t="str">
        <f t="shared" ca="1" si="239"/>
        <v/>
      </c>
      <c r="E280" s="13" t="str">
        <f t="shared" ca="1" si="239"/>
        <v>Megan</v>
      </c>
      <c r="F280" s="13" t="str">
        <f t="shared" ca="1" si="239"/>
        <v>Matt</v>
      </c>
      <c r="G280" s="13" t="str">
        <f t="shared" ca="1" si="239"/>
        <v>Mark</v>
      </c>
      <c r="H280" s="13" t="str">
        <f t="shared" ca="1" si="239"/>
        <v/>
      </c>
      <c r="I280" s="13" t="str">
        <f t="shared" ca="1" si="239"/>
        <v>Josh</v>
      </c>
      <c r="J280" s="13" t="str">
        <f t="shared" ca="1" si="239"/>
        <v>Jillian</v>
      </c>
      <c r="K280" s="13" t="str">
        <f t="shared" ca="1" si="239"/>
        <v>Jessica</v>
      </c>
      <c r="L280" s="13" t="str">
        <f t="shared" ca="1" si="239"/>
        <v>Jason</v>
      </c>
      <c r="M280" s="13" t="str">
        <f t="shared" ca="1" si="239"/>
        <v>Elena</v>
      </c>
      <c r="N280" s="13" t="str">
        <f t="shared" ca="1" si="239"/>
        <v/>
      </c>
      <c r="O280" s="13" t="str">
        <f t="shared" ca="1" si="239"/>
        <v>Cody</v>
      </c>
      <c r="P280" s="13" t="str">
        <f t="shared" ca="1" si="239"/>
        <v>Christmas</v>
      </c>
      <c r="Q280" s="13" t="str">
        <f t="shared" ca="1" si="239"/>
        <v>Cameron</v>
      </c>
      <c r="R280" s="13" t="str">
        <f t="shared" ca="1" si="239"/>
        <v>Alex</v>
      </c>
      <c r="S280" s="13"/>
      <c r="T280" s="13"/>
      <c r="U280" s="13"/>
      <c r="V280" s="13"/>
    </row>
    <row r="281" spans="1:22" x14ac:dyDescent="0.25">
      <c r="A281" s="13" t="str">
        <f ca="1">Game!G855</f>
        <v>Elena</v>
      </c>
      <c r="B281">
        <f t="shared" ref="B281" ca="1" si="240">IF(B280="","",INDEX(B$2:B$18,MATCH($A281,$A$2:$A$18,0)))</f>
        <v>56.2767320805171</v>
      </c>
      <c r="C281" t="str">
        <f ca="1">IF(C280="","",INDEX(C$2:C$18,MATCH($A281,$A$2:$A$18,0)))</f>
        <v/>
      </c>
      <c r="D281" t="str">
        <f t="shared" ref="D281:R281" ca="1" si="241">IF(D280="","",INDEX(D$2:D$18,MATCH($A281,$A$2:$A$18,0)))</f>
        <v/>
      </c>
      <c r="E281">
        <f t="shared" ca="1" si="241"/>
        <v>22.384831157245035</v>
      </c>
      <c r="F281">
        <f t="shared" ca="1" si="241"/>
        <v>5.1215439768423332</v>
      </c>
      <c r="G281">
        <f t="shared" ca="1" si="241"/>
        <v>42.203489365903273</v>
      </c>
      <c r="H281" t="str">
        <f t="shared" ca="1" si="241"/>
        <v/>
      </c>
      <c r="I281">
        <f t="shared" ca="1" si="241"/>
        <v>1.1992803304611785</v>
      </c>
      <c r="J281">
        <f t="shared" ca="1" si="241"/>
        <v>61.021456882754954</v>
      </c>
      <c r="K281">
        <f t="shared" ca="1" si="241"/>
        <v>70.399092792834807</v>
      </c>
      <c r="L281">
        <f t="shared" ca="1" si="241"/>
        <v>30.397908622093482</v>
      </c>
      <c r="M281">
        <f t="shared" ca="1" si="241"/>
        <v>101</v>
      </c>
      <c r="N281" t="str">
        <f t="shared" ca="1" si="241"/>
        <v/>
      </c>
      <c r="O281">
        <f t="shared" ca="1" si="241"/>
        <v>82.363856292644456</v>
      </c>
      <c r="P281">
        <f t="shared" ca="1" si="241"/>
        <v>63.422646957515994</v>
      </c>
      <c r="Q281">
        <f t="shared" ca="1" si="241"/>
        <v>12.409183957135806</v>
      </c>
      <c r="R281">
        <f t="shared" ca="1" si="241"/>
        <v>71.225585308804355</v>
      </c>
      <c r="S281" s="13"/>
      <c r="T281" s="13"/>
      <c r="U281" s="13"/>
      <c r="V281" s="13"/>
    </row>
    <row r="282" spans="1:22" x14ac:dyDescent="0.25">
      <c r="A282" s="13" t="str">
        <f ca="1">Game!G856</f>
        <v>Mark</v>
      </c>
      <c r="B282">
        <f t="shared" ref="B282:R282" ca="1" si="242">IF(B281="","",INDEX(B$2:B$18,MATCH($A282,$A$2:$A$18,0)))</f>
        <v>14.404075662040396</v>
      </c>
      <c r="C282" t="str">
        <f t="shared" ca="1" si="242"/>
        <v/>
      </c>
      <c r="D282" t="str">
        <f t="shared" ca="1" si="242"/>
        <v/>
      </c>
      <c r="E282">
        <f t="shared" ca="1" si="242"/>
        <v>7.442508972552484</v>
      </c>
      <c r="F282">
        <f t="shared" ca="1" si="242"/>
        <v>24.202774351677192</v>
      </c>
      <c r="G282">
        <f t="shared" ca="1" si="242"/>
        <v>101</v>
      </c>
      <c r="H282" t="str">
        <f t="shared" ca="1" si="242"/>
        <v/>
      </c>
      <c r="I282">
        <f t="shared" ca="1" si="242"/>
        <v>15.422138284256448</v>
      </c>
      <c r="J282">
        <f t="shared" ca="1" si="242"/>
        <v>43.053985180386718</v>
      </c>
      <c r="K282">
        <f t="shared" ca="1" si="242"/>
        <v>59.282946937072587</v>
      </c>
      <c r="L282">
        <f t="shared" ca="1" si="242"/>
        <v>45.249910546888039</v>
      </c>
      <c r="M282">
        <f t="shared" ca="1" si="242"/>
        <v>42.203489365903273</v>
      </c>
      <c r="N282" t="str">
        <f t="shared" ca="1" si="242"/>
        <v/>
      </c>
      <c r="O282">
        <f t="shared" ca="1" si="242"/>
        <v>24.230698123089187</v>
      </c>
      <c r="P282">
        <f t="shared" ca="1" si="242"/>
        <v>72.406235089083978</v>
      </c>
      <c r="Q282">
        <f t="shared" ca="1" si="242"/>
        <v>17.366447548995119</v>
      </c>
      <c r="R282">
        <f t="shared" ca="1" si="242"/>
        <v>76.31237136960803</v>
      </c>
      <c r="S282" s="13"/>
      <c r="T282" s="13"/>
      <c r="U282" s="13"/>
      <c r="V282" s="13"/>
    </row>
    <row r="283" spans="1:22" x14ac:dyDescent="0.25">
      <c r="A283" s="13" t="str">
        <f ca="1">Game!G857</f>
        <v/>
      </c>
      <c r="B283" t="str">
        <f ca="1">IF(A283="","",IF(B282="","",INDEX(B$2:B$18,MATCH($A283,$A$2:$A$18,0))))</f>
        <v/>
      </c>
      <c r="C283" t="str">
        <f t="shared" ref="C283:R283" ca="1" si="243">IF($A283="","",IF(C282="","",INDEX(C$2:C$18,MATCH($A283,$A$2:$A$18,0))))</f>
        <v/>
      </c>
      <c r="D283" t="str">
        <f t="shared" ca="1" si="243"/>
        <v/>
      </c>
      <c r="E283" t="str">
        <f t="shared" ca="1" si="243"/>
        <v/>
      </c>
      <c r="F283" t="str">
        <f t="shared" ca="1" si="243"/>
        <v/>
      </c>
      <c r="G283" t="str">
        <f t="shared" ca="1" si="243"/>
        <v/>
      </c>
      <c r="H283" t="str">
        <f t="shared" ca="1" si="243"/>
        <v/>
      </c>
      <c r="I283" t="str">
        <f t="shared" ca="1" si="243"/>
        <v/>
      </c>
      <c r="J283" t="str">
        <f t="shared" ca="1" si="243"/>
        <v/>
      </c>
      <c r="K283" t="str">
        <f t="shared" ca="1" si="243"/>
        <v/>
      </c>
      <c r="L283" t="str">
        <f t="shared" ca="1" si="243"/>
        <v/>
      </c>
      <c r="M283" t="str">
        <f t="shared" ca="1" si="243"/>
        <v/>
      </c>
      <c r="N283" t="str">
        <f t="shared" ca="1" si="243"/>
        <v/>
      </c>
      <c r="O283" t="str">
        <f t="shared" ca="1" si="243"/>
        <v/>
      </c>
      <c r="P283" t="str">
        <f t="shared" ca="1" si="243"/>
        <v/>
      </c>
      <c r="Q283" t="str">
        <f t="shared" ca="1" si="243"/>
        <v/>
      </c>
      <c r="R283" t="str">
        <f t="shared" ca="1" si="243"/>
        <v/>
      </c>
      <c r="S283" s="13"/>
      <c r="T283" s="13"/>
      <c r="U283" s="13"/>
      <c r="V283" s="13"/>
    </row>
    <row r="284" spans="1:22" x14ac:dyDescent="0.25">
      <c r="A284" s="13"/>
      <c r="B284" t="str">
        <f ca="1">IF(B280="","",INDEX(A281:A283,MATCH(SMALL(B281:B283,1),B281:B283,0)))</f>
        <v>Mark</v>
      </c>
      <c r="C284" t="str">
        <f t="shared" ref="C284:R284" ca="1" si="244">IF(C280="","",INDEX($A281:$A283,MATCH(SMALL(C281:C283,1),C281:C283,0)))</f>
        <v/>
      </c>
      <c r="D284" t="str">
        <f t="shared" ca="1" si="244"/>
        <v/>
      </c>
      <c r="E284" t="str">
        <f t="shared" ca="1" si="244"/>
        <v>Mark</v>
      </c>
      <c r="F284" t="str">
        <f t="shared" ca="1" si="244"/>
        <v>Elena</v>
      </c>
      <c r="G284" t="str">
        <f t="shared" ca="1" si="244"/>
        <v>Elena</v>
      </c>
      <c r="H284" t="str">
        <f t="shared" ca="1" si="244"/>
        <v/>
      </c>
      <c r="I284" t="str">
        <f t="shared" ca="1" si="244"/>
        <v>Elena</v>
      </c>
      <c r="J284" t="str">
        <f t="shared" ca="1" si="244"/>
        <v>Mark</v>
      </c>
      <c r="K284" t="str">
        <f t="shared" ca="1" si="244"/>
        <v>Mark</v>
      </c>
      <c r="L284" t="str">
        <f t="shared" ca="1" si="244"/>
        <v>Elena</v>
      </c>
      <c r="M284" t="str">
        <f t="shared" ca="1" si="244"/>
        <v>Mark</v>
      </c>
      <c r="N284" t="str">
        <f t="shared" ca="1" si="244"/>
        <v/>
      </c>
      <c r="O284" t="str">
        <f t="shared" ca="1" si="244"/>
        <v>Mark</v>
      </c>
      <c r="P284" t="str">
        <f t="shared" ca="1" si="244"/>
        <v>Elena</v>
      </c>
      <c r="Q284" t="str">
        <f t="shared" ca="1" si="244"/>
        <v>Elena</v>
      </c>
      <c r="R284" t="str">
        <f t="shared" ca="1" si="244"/>
        <v>Elena</v>
      </c>
      <c r="S284" s="13"/>
      <c r="T284" s="13"/>
      <c r="U284" s="13"/>
      <c r="V284" s="13"/>
    </row>
    <row r="285" spans="1:2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x14ac:dyDescent="0.25">
      <c r="A287" s="13" t="str">
        <f ca="1">Game!G884</f>
        <v>Elena</v>
      </c>
      <c r="B287" s="13" t="str">
        <f t="shared" ref="B287:R287" ca="1" si="245">IF(B249=$A287,"",B249)</f>
        <v>Raven</v>
      </c>
      <c r="C287" s="13" t="str">
        <f t="shared" ca="1" si="245"/>
        <v/>
      </c>
      <c r="D287" s="13" t="str">
        <f t="shared" ca="1" si="245"/>
        <v/>
      </c>
      <c r="E287" s="13" t="str">
        <f t="shared" ca="1" si="245"/>
        <v>Megan</v>
      </c>
      <c r="F287" s="13" t="str">
        <f t="shared" ca="1" si="245"/>
        <v>Matt</v>
      </c>
      <c r="G287" s="13" t="str">
        <f t="shared" ca="1" si="245"/>
        <v>Mark</v>
      </c>
      <c r="H287" s="13" t="str">
        <f t="shared" ca="1" si="245"/>
        <v/>
      </c>
      <c r="I287" s="13" t="str">
        <f t="shared" ca="1" si="245"/>
        <v>Josh</v>
      </c>
      <c r="J287" s="13" t="str">
        <f t="shared" ca="1" si="245"/>
        <v>Jillian</v>
      </c>
      <c r="K287" s="13" t="str">
        <f t="shared" ca="1" si="245"/>
        <v>Jessica</v>
      </c>
      <c r="L287" s="13" t="str">
        <f t="shared" ca="1" si="245"/>
        <v>Jason</v>
      </c>
      <c r="M287" s="13" t="str">
        <f t="shared" ca="1" si="245"/>
        <v/>
      </c>
      <c r="N287" s="13" t="str">
        <f t="shared" ca="1" si="245"/>
        <v/>
      </c>
      <c r="O287" s="13" t="str">
        <f t="shared" ca="1" si="245"/>
        <v>Cody</v>
      </c>
      <c r="P287" s="13" t="str">
        <f t="shared" ca="1" si="245"/>
        <v>Christmas</v>
      </c>
      <c r="Q287" s="13" t="str">
        <f t="shared" ca="1" si="245"/>
        <v>Cameron</v>
      </c>
      <c r="R287" s="13" t="str">
        <f t="shared" ca="1" si="245"/>
        <v>Alex</v>
      </c>
      <c r="S287" s="13"/>
      <c r="T287" s="13"/>
      <c r="U287" s="13"/>
      <c r="V287" s="13"/>
    </row>
    <row r="288" spans="1:22" x14ac:dyDescent="0.25">
      <c r="A288" s="13"/>
      <c r="B288" s="13" t="str">
        <f ca="1">IF(B287="","",IF(B250=$A$287,B251,B250))</f>
        <v>Jessica</v>
      </c>
      <c r="C288" s="13" t="str">
        <f t="shared" ref="C288:R288" ca="1" si="246">IF(C287="","",IF(C250=$A$287,C251,C250))</f>
        <v/>
      </c>
      <c r="D288" s="13" t="str">
        <f t="shared" ca="1" si="246"/>
        <v/>
      </c>
      <c r="E288" s="13" t="str">
        <f t="shared" ca="1" si="246"/>
        <v>Jason</v>
      </c>
      <c r="F288" s="13" t="str">
        <f t="shared" ca="1" si="246"/>
        <v>Christmas</v>
      </c>
      <c r="G288" s="13" t="str">
        <f t="shared" ca="1" si="246"/>
        <v>Alex</v>
      </c>
      <c r="H288" s="13" t="str">
        <f t="shared" ca="1" si="246"/>
        <v/>
      </c>
      <c r="I288" s="13" t="str">
        <f t="shared" ca="1" si="246"/>
        <v>Matt</v>
      </c>
      <c r="J288" s="13" t="str">
        <f t="shared" ca="1" si="246"/>
        <v>Jason</v>
      </c>
      <c r="K288" s="13" t="str">
        <f t="shared" ca="1" si="246"/>
        <v>Raven</v>
      </c>
      <c r="L288" s="13" t="str">
        <f t="shared" ca="1" si="246"/>
        <v>Matt</v>
      </c>
      <c r="M288" s="13" t="str">
        <f t="shared" ca="1" si="246"/>
        <v/>
      </c>
      <c r="N288" s="13" t="str">
        <f t="shared" ca="1" si="246"/>
        <v/>
      </c>
      <c r="O288" s="13" t="str">
        <f t="shared" ca="1" si="246"/>
        <v>Matt</v>
      </c>
      <c r="P288" s="13" t="str">
        <f t="shared" ca="1" si="246"/>
        <v>Matt</v>
      </c>
      <c r="Q288" s="13" t="str">
        <f t="shared" ca="1" si="246"/>
        <v>Alex</v>
      </c>
      <c r="R288" s="13" t="str">
        <f t="shared" ca="1" si="246"/>
        <v>Mark</v>
      </c>
      <c r="S288" s="13"/>
      <c r="T288" s="13"/>
      <c r="U288" s="13"/>
      <c r="V288" s="13"/>
    </row>
    <row r="289" spans="1:22" x14ac:dyDescent="0.25">
      <c r="A289" s="13"/>
      <c r="B289" s="13" t="str">
        <f t="shared" ref="B289:B298" ca="1" si="247">IF(B$287="","",IF(B288=B251,B252,IF(B251=$A$287,B252,B251)))</f>
        <v>Cody</v>
      </c>
      <c r="C289" s="13" t="str">
        <f t="shared" ref="C289:R289" ca="1" si="248">IF(C$287="","",IF(C288=C251,C252,IF(C251=$A$287,C252,C251)))</f>
        <v/>
      </c>
      <c r="D289" s="13" t="str">
        <f t="shared" ca="1" si="248"/>
        <v/>
      </c>
      <c r="E289" s="13" t="str">
        <f t="shared" ca="1" si="248"/>
        <v>Matt</v>
      </c>
      <c r="F289" s="13" t="str">
        <f t="shared" ca="1" si="248"/>
        <v>Jason</v>
      </c>
      <c r="G289" s="13" t="str">
        <f t="shared" ca="1" si="248"/>
        <v>Christmas</v>
      </c>
      <c r="H289" s="13" t="str">
        <f t="shared" ca="1" si="248"/>
        <v/>
      </c>
      <c r="I289" s="13" t="str">
        <f t="shared" ca="1" si="248"/>
        <v>Cody</v>
      </c>
      <c r="J289" s="13" t="str">
        <f t="shared" ca="1" si="248"/>
        <v>Megan</v>
      </c>
      <c r="K289" s="13" t="str">
        <f t="shared" ca="1" si="248"/>
        <v>Christmas</v>
      </c>
      <c r="L289" s="13" t="str">
        <f t="shared" ca="1" si="248"/>
        <v>Megan</v>
      </c>
      <c r="M289" s="13" t="str">
        <f t="shared" ca="1" si="248"/>
        <v/>
      </c>
      <c r="N289" s="13" t="str">
        <f t="shared" ca="1" si="248"/>
        <v/>
      </c>
      <c r="O289" s="13" t="str">
        <f t="shared" ca="1" si="248"/>
        <v>Raven</v>
      </c>
      <c r="P289" s="13" t="str">
        <f t="shared" ca="1" si="248"/>
        <v>Mark</v>
      </c>
      <c r="Q289" s="13" t="str">
        <f t="shared" ca="1" si="248"/>
        <v>Cody</v>
      </c>
      <c r="R289" s="13" t="str">
        <f t="shared" ca="1" si="248"/>
        <v>Cameron</v>
      </c>
      <c r="S289" s="13"/>
      <c r="T289" s="13"/>
      <c r="U289" s="13"/>
      <c r="V289" s="13"/>
    </row>
    <row r="290" spans="1:22" x14ac:dyDescent="0.25">
      <c r="A290" s="13"/>
      <c r="B290" s="13" t="str">
        <f t="shared" ca="1" si="247"/>
        <v>Christmas</v>
      </c>
      <c r="C290" s="13" t="str">
        <f t="shared" ref="C290:C298" ca="1" si="249">IF(C$287="","",IF(C289=C252,C253,IF(C252=$A$287,C253,C252)))</f>
        <v/>
      </c>
      <c r="D290" s="13" t="str">
        <f t="shared" ref="D290:D298" ca="1" si="250">IF(D$287="","",IF(D289=D252,D253,IF(D252=$A$287,D253,D252)))</f>
        <v/>
      </c>
      <c r="E290" s="13" t="str">
        <f t="shared" ref="E290:E298" ca="1" si="251">IF(E$287="","",IF(E289=E252,E253,IF(E252=$A$287,E253,E252)))</f>
        <v>Jillian</v>
      </c>
      <c r="F290" s="13" t="str">
        <f t="shared" ref="F290:F298" ca="1" si="252">IF(F$287="","",IF(F289=F252,F253,IF(F252=$A$287,F253,F252)))</f>
        <v>Cody</v>
      </c>
      <c r="G290" s="13" t="str">
        <f t="shared" ref="G290:G298" ca="1" si="253">IF(G$287="","",IF(G289=G252,G253,IF(G252=$A$287,G253,G252)))</f>
        <v>Jessica</v>
      </c>
      <c r="H290" s="13" t="str">
        <f t="shared" ref="H290:H298" ca="1" si="254">IF(H$287="","",IF(H289=H252,H253,IF(H252=$A$287,H253,H252)))</f>
        <v/>
      </c>
      <c r="I290" s="13" t="str">
        <f t="shared" ref="I290:I298" ca="1" si="255">IF(I$287="","",IF(I289=I252,I253,IF(I252=$A$287,I253,I252)))</f>
        <v>Alex</v>
      </c>
      <c r="J290" s="13" t="str">
        <f t="shared" ref="J290:J298" ca="1" si="256">IF(J$287="","",IF(J289=J252,J253,IF(J252=$A$287,J253,J252)))</f>
        <v>Cameron</v>
      </c>
      <c r="K290" s="13" t="str">
        <f t="shared" ref="K290:K298" ca="1" si="257">IF(K$287="","",IF(K289=K252,K253,IF(K252=$A$287,K253,K252)))</f>
        <v>Mark</v>
      </c>
      <c r="L290" s="13" t="str">
        <f t="shared" ref="L290:L298" ca="1" si="258">IF(L$287="","",IF(L289=L252,L253,IF(L252=$A$287,L253,L252)))</f>
        <v>Jillian</v>
      </c>
      <c r="M290" s="13" t="str">
        <f t="shared" ref="M290:M298" ca="1" si="259">IF(M$287="","",IF(M289=M252,M253,IF(M252=$A$287,M253,M252)))</f>
        <v/>
      </c>
      <c r="N290" s="13" t="str">
        <f t="shared" ref="N290:N298" ca="1" si="260">IF(N$287="","",IF(N289=N252,N253,IF(N252=$A$287,N253,N252)))</f>
        <v/>
      </c>
      <c r="O290" s="13" t="str">
        <f t="shared" ref="O290:O298" ca="1" si="261">IF(O$287="","",IF(O289=O252,O253,IF(O252=$A$287,O253,O252)))</f>
        <v>Cameron</v>
      </c>
      <c r="P290" s="13" t="str">
        <f t="shared" ref="P290:P298" ca="1" si="262">IF(P$287="","",IF(P289=P252,P253,IF(P252=$A$287,P253,P252)))</f>
        <v>Jessica</v>
      </c>
      <c r="Q290" s="13" t="str">
        <f t="shared" ref="Q290:Q298" ca="1" si="263">IF(Q$287="","",IF(Q289=Q252,Q253,IF(Q252=$A$287,Q253,Q252)))</f>
        <v>Matt</v>
      </c>
      <c r="R290" s="13" t="str">
        <f t="shared" ref="R290:R298" ca="1" si="264">IF(R$287="","",IF(R289=R252,R253,IF(R252=$A$287,R253,R252)))</f>
        <v>Jason</v>
      </c>
      <c r="S290" s="13"/>
      <c r="T290" s="13"/>
      <c r="U290" s="13"/>
      <c r="V290" s="13"/>
    </row>
    <row r="291" spans="1:22" x14ac:dyDescent="0.25">
      <c r="A291" s="13"/>
      <c r="B291" s="13" t="str">
        <f t="shared" ca="1" si="247"/>
        <v>Cameron</v>
      </c>
      <c r="C291" s="13" t="str">
        <f t="shared" ca="1" si="249"/>
        <v/>
      </c>
      <c r="D291" s="13" t="str">
        <f t="shared" ca="1" si="250"/>
        <v/>
      </c>
      <c r="E291" s="13" t="str">
        <f t="shared" ca="1" si="251"/>
        <v>Cameron</v>
      </c>
      <c r="F291" s="13" t="str">
        <f t="shared" ca="1" si="252"/>
        <v>Megan</v>
      </c>
      <c r="G291" s="13" t="str">
        <f t="shared" ca="1" si="253"/>
        <v>Jason</v>
      </c>
      <c r="H291" s="13" t="str">
        <f t="shared" ca="1" si="254"/>
        <v/>
      </c>
      <c r="I291" s="13" t="str">
        <f t="shared" ca="1" si="255"/>
        <v>Jillian</v>
      </c>
      <c r="J291" s="13" t="str">
        <f t="shared" ca="1" si="256"/>
        <v>Alex</v>
      </c>
      <c r="K291" s="13" t="str">
        <f t="shared" ca="1" si="257"/>
        <v>Jason</v>
      </c>
      <c r="L291" s="13" t="str">
        <f t="shared" ca="1" si="258"/>
        <v>Alex</v>
      </c>
      <c r="M291" s="13" t="str">
        <f t="shared" ca="1" si="259"/>
        <v/>
      </c>
      <c r="N291" s="13" t="str">
        <f t="shared" ca="1" si="260"/>
        <v/>
      </c>
      <c r="O291" s="13" t="str">
        <f t="shared" ca="1" si="261"/>
        <v>Josh</v>
      </c>
      <c r="P291" s="13" t="str">
        <f t="shared" ca="1" si="262"/>
        <v>Raven</v>
      </c>
      <c r="Q291" s="13" t="str">
        <f t="shared" ca="1" si="263"/>
        <v>Jillian</v>
      </c>
      <c r="R291" s="13" t="str">
        <f t="shared" ca="1" si="264"/>
        <v>Jillian</v>
      </c>
      <c r="S291" s="13"/>
      <c r="T291" s="13"/>
      <c r="U291" s="13"/>
      <c r="V291" s="13"/>
    </row>
    <row r="292" spans="1:22" x14ac:dyDescent="0.25">
      <c r="A292" s="13"/>
      <c r="B292" s="13" t="str">
        <f t="shared" ca="1" si="247"/>
        <v>Alex</v>
      </c>
      <c r="C292" s="13" t="str">
        <f t="shared" ca="1" si="249"/>
        <v/>
      </c>
      <c r="D292" s="13" t="str">
        <f t="shared" ca="1" si="250"/>
        <v/>
      </c>
      <c r="E292" s="13" t="str">
        <f t="shared" ca="1" si="251"/>
        <v>Alex</v>
      </c>
      <c r="F292" s="13" t="str">
        <f t="shared" ca="1" si="252"/>
        <v>Cameron</v>
      </c>
      <c r="G292" s="13" t="str">
        <f t="shared" ca="1" si="253"/>
        <v>Jillian</v>
      </c>
      <c r="H292" s="13" t="str">
        <f t="shared" ca="1" si="254"/>
        <v/>
      </c>
      <c r="I292" s="13" t="str">
        <f t="shared" ca="1" si="255"/>
        <v>Cameron</v>
      </c>
      <c r="J292" s="13" t="str">
        <f t="shared" ca="1" si="256"/>
        <v>Cody</v>
      </c>
      <c r="K292" s="13" t="str">
        <f t="shared" ca="1" si="257"/>
        <v>Cody</v>
      </c>
      <c r="L292" s="13" t="str">
        <f t="shared" ca="1" si="258"/>
        <v>Jessica</v>
      </c>
      <c r="M292" s="13" t="str">
        <f t="shared" ca="1" si="259"/>
        <v/>
      </c>
      <c r="N292" s="13" t="str">
        <f t="shared" ca="1" si="260"/>
        <v/>
      </c>
      <c r="O292" s="13" t="str">
        <f t="shared" ca="1" si="261"/>
        <v>Jillian</v>
      </c>
      <c r="P292" s="13" t="str">
        <f t="shared" ca="1" si="262"/>
        <v>Jillian</v>
      </c>
      <c r="Q292" s="13" t="str">
        <f t="shared" ca="1" si="263"/>
        <v>Megan</v>
      </c>
      <c r="R292" s="13" t="str">
        <f t="shared" ca="1" si="264"/>
        <v>Megan</v>
      </c>
      <c r="S292" s="13"/>
      <c r="T292" s="13"/>
      <c r="U292" s="13"/>
      <c r="V292" s="13"/>
    </row>
    <row r="293" spans="1:22" x14ac:dyDescent="0.25">
      <c r="A293" s="13"/>
      <c r="B293" s="13" t="str">
        <f t="shared" ca="1" si="247"/>
        <v>Jason</v>
      </c>
      <c r="C293" s="13" t="str">
        <f t="shared" ca="1" si="249"/>
        <v/>
      </c>
      <c r="D293" s="13" t="str">
        <f t="shared" ca="1" si="250"/>
        <v/>
      </c>
      <c r="E293" s="13" t="str">
        <f t="shared" ca="1" si="251"/>
        <v>Josh</v>
      </c>
      <c r="F293" s="13" t="str">
        <f t="shared" ca="1" si="252"/>
        <v>Josh</v>
      </c>
      <c r="G293" s="13" t="str">
        <f t="shared" ca="1" si="253"/>
        <v>Cody</v>
      </c>
      <c r="H293" s="13" t="str">
        <f t="shared" ca="1" si="254"/>
        <v/>
      </c>
      <c r="I293" s="13" t="str">
        <f t="shared" ca="1" si="255"/>
        <v>Megan</v>
      </c>
      <c r="J293" s="13" t="str">
        <f t="shared" ca="1" si="256"/>
        <v>Christmas</v>
      </c>
      <c r="K293" s="13" t="str">
        <f t="shared" ca="1" si="257"/>
        <v>Cameron</v>
      </c>
      <c r="L293" s="13" t="str">
        <f t="shared" ca="1" si="258"/>
        <v>Mark</v>
      </c>
      <c r="M293" s="13" t="str">
        <f t="shared" ca="1" si="259"/>
        <v/>
      </c>
      <c r="N293" s="13" t="str">
        <f t="shared" ca="1" si="260"/>
        <v/>
      </c>
      <c r="O293" s="13" t="str">
        <f t="shared" ca="1" si="261"/>
        <v>Jessica</v>
      </c>
      <c r="P293" s="13" t="str">
        <f t="shared" ca="1" si="262"/>
        <v>Alex</v>
      </c>
      <c r="Q293" s="13" t="str">
        <f t="shared" ca="1" si="263"/>
        <v>Raven</v>
      </c>
      <c r="R293" s="13" t="str">
        <f t="shared" ca="1" si="264"/>
        <v>Josh</v>
      </c>
      <c r="S293" s="13"/>
      <c r="T293" s="13"/>
      <c r="U293" s="13"/>
      <c r="V293" s="13"/>
    </row>
    <row r="294" spans="1:22" x14ac:dyDescent="0.25">
      <c r="A294" s="13"/>
      <c r="B294" s="13" t="str">
        <f t="shared" ca="1" si="247"/>
        <v>Jillian</v>
      </c>
      <c r="C294" s="13" t="str">
        <f t="shared" ca="1" si="249"/>
        <v/>
      </c>
      <c r="D294" s="13" t="str">
        <f t="shared" ca="1" si="250"/>
        <v/>
      </c>
      <c r="E294" s="13" t="str">
        <f t="shared" ca="1" si="251"/>
        <v>Jessica</v>
      </c>
      <c r="F294" s="13" t="str">
        <f t="shared" ca="1" si="252"/>
        <v>Jessica</v>
      </c>
      <c r="G294" s="13" t="str">
        <f t="shared" ca="1" si="253"/>
        <v>Matt</v>
      </c>
      <c r="H294" s="13" t="str">
        <f t="shared" ca="1" si="254"/>
        <v/>
      </c>
      <c r="I294" s="13" t="str">
        <f t="shared" ca="1" si="255"/>
        <v>Jason</v>
      </c>
      <c r="J294" s="13" t="str">
        <f t="shared" ca="1" si="256"/>
        <v>Josh</v>
      </c>
      <c r="K294" s="13" t="str">
        <f t="shared" ca="1" si="257"/>
        <v>Matt</v>
      </c>
      <c r="L294" s="13" t="str">
        <f t="shared" ca="1" si="258"/>
        <v>Cody</v>
      </c>
      <c r="M294" s="13" t="str">
        <f t="shared" ca="1" si="259"/>
        <v/>
      </c>
      <c r="N294" s="13" t="str">
        <f t="shared" ca="1" si="260"/>
        <v/>
      </c>
      <c r="O294" s="13" t="str">
        <f t="shared" ca="1" si="261"/>
        <v>Jason</v>
      </c>
      <c r="P294" s="13" t="str">
        <f t="shared" ca="1" si="262"/>
        <v>Jason</v>
      </c>
      <c r="Q294" s="13" t="str">
        <f t="shared" ca="1" si="263"/>
        <v>Jessica</v>
      </c>
      <c r="R294" s="13" t="str">
        <f t="shared" ca="1" si="264"/>
        <v>Christmas</v>
      </c>
      <c r="S294" s="13"/>
      <c r="T294" s="13"/>
      <c r="U294" s="13"/>
      <c r="V294" s="13"/>
    </row>
    <row r="295" spans="1:22" x14ac:dyDescent="0.25">
      <c r="A295" s="13"/>
      <c r="B295" s="13" t="str">
        <f t="shared" ca="1" si="247"/>
        <v>Josh</v>
      </c>
      <c r="C295" s="13" t="str">
        <f t="shared" ca="1" si="249"/>
        <v/>
      </c>
      <c r="D295" s="13" t="str">
        <f t="shared" ca="1" si="250"/>
        <v/>
      </c>
      <c r="E295" s="13" t="str">
        <f t="shared" ca="1" si="251"/>
        <v>Cody</v>
      </c>
      <c r="F295" s="13" t="str">
        <f t="shared" ca="1" si="252"/>
        <v>Mark</v>
      </c>
      <c r="G295" s="13" t="str">
        <f t="shared" ca="1" si="253"/>
        <v>Cameron</v>
      </c>
      <c r="H295" s="13" t="str">
        <f t="shared" ca="1" si="254"/>
        <v/>
      </c>
      <c r="I295" s="13" t="str">
        <f t="shared" ca="1" si="255"/>
        <v>Jessica</v>
      </c>
      <c r="J295" s="13" t="str">
        <f t="shared" ca="1" si="256"/>
        <v>Mark</v>
      </c>
      <c r="K295" s="13" t="str">
        <f t="shared" ca="1" si="257"/>
        <v>Alex</v>
      </c>
      <c r="L295" s="13" t="str">
        <f t="shared" ca="1" si="258"/>
        <v>Josh</v>
      </c>
      <c r="M295" s="13" t="str">
        <f t="shared" ca="1" si="259"/>
        <v/>
      </c>
      <c r="N295" s="13" t="str">
        <f t="shared" ca="1" si="260"/>
        <v/>
      </c>
      <c r="O295" s="13" t="str">
        <f t="shared" ca="1" si="261"/>
        <v>Mark</v>
      </c>
      <c r="P295" s="13" t="str">
        <f t="shared" ca="1" si="262"/>
        <v>Cameron</v>
      </c>
      <c r="Q295" s="13" t="str">
        <f t="shared" ca="1" si="263"/>
        <v>Josh</v>
      </c>
      <c r="R295" s="13" t="str">
        <f t="shared" ca="1" si="264"/>
        <v>Jessica</v>
      </c>
      <c r="S295" s="13"/>
      <c r="T295" s="13"/>
      <c r="U295" s="13"/>
      <c r="V295" s="13"/>
    </row>
    <row r="296" spans="1:22" x14ac:dyDescent="0.25">
      <c r="A296" s="13"/>
      <c r="B296" s="13" t="str">
        <f t="shared" ca="1" si="247"/>
        <v>Matt</v>
      </c>
      <c r="C296" s="13" t="str">
        <f t="shared" ca="1" si="249"/>
        <v/>
      </c>
      <c r="D296" s="13" t="str">
        <f t="shared" ca="1" si="250"/>
        <v/>
      </c>
      <c r="E296" s="13" t="str">
        <f t="shared" ca="1" si="251"/>
        <v>Raven</v>
      </c>
      <c r="F296" s="13" t="str">
        <f t="shared" ca="1" si="252"/>
        <v>Jillian</v>
      </c>
      <c r="G296" s="13" t="str">
        <f t="shared" ca="1" si="253"/>
        <v>Josh</v>
      </c>
      <c r="H296" s="13" t="str">
        <f t="shared" ca="1" si="254"/>
        <v/>
      </c>
      <c r="I296" s="13" t="str">
        <f t="shared" ca="1" si="255"/>
        <v>Raven</v>
      </c>
      <c r="J296" s="13" t="str">
        <f t="shared" ca="1" si="256"/>
        <v>Raven</v>
      </c>
      <c r="K296" s="13" t="str">
        <f t="shared" ca="1" si="257"/>
        <v>Megan</v>
      </c>
      <c r="L296" s="13" t="str">
        <f t="shared" ca="1" si="258"/>
        <v>Raven</v>
      </c>
      <c r="M296" s="13" t="str">
        <f t="shared" ca="1" si="259"/>
        <v/>
      </c>
      <c r="N296" s="13" t="str">
        <f t="shared" ca="1" si="260"/>
        <v/>
      </c>
      <c r="O296" s="13" t="str">
        <f t="shared" ca="1" si="261"/>
        <v>Alex</v>
      </c>
      <c r="P296" s="13" t="str">
        <f t="shared" ca="1" si="262"/>
        <v>Josh</v>
      </c>
      <c r="Q296" s="13" t="str">
        <f t="shared" ca="1" si="263"/>
        <v>Christmas</v>
      </c>
      <c r="R296" s="13" t="str">
        <f t="shared" ca="1" si="264"/>
        <v>Raven</v>
      </c>
      <c r="S296" s="13"/>
      <c r="T296" s="13"/>
      <c r="U296" s="13"/>
      <c r="V296" s="13"/>
    </row>
    <row r="297" spans="1:22" x14ac:dyDescent="0.25">
      <c r="A297" s="13"/>
      <c r="B297" s="13" t="str">
        <f t="shared" ca="1" si="247"/>
        <v>Mark</v>
      </c>
      <c r="C297" s="13" t="str">
        <f t="shared" ca="1" si="249"/>
        <v/>
      </c>
      <c r="D297" s="13" t="str">
        <f t="shared" ca="1" si="250"/>
        <v/>
      </c>
      <c r="E297" s="13" t="str">
        <f t="shared" ca="1" si="251"/>
        <v>Mark</v>
      </c>
      <c r="F297" s="13" t="str">
        <f t="shared" ca="1" si="252"/>
        <v>Raven</v>
      </c>
      <c r="G297" s="13" t="str">
        <f t="shared" ca="1" si="253"/>
        <v>Raven</v>
      </c>
      <c r="H297" s="13" t="str">
        <f t="shared" ca="1" si="254"/>
        <v/>
      </c>
      <c r="I297" s="13" t="str">
        <f t="shared" ca="1" si="255"/>
        <v>Mark</v>
      </c>
      <c r="J297" s="13" t="str">
        <f t="shared" ca="1" si="256"/>
        <v>Jessica</v>
      </c>
      <c r="K297" s="13" t="str">
        <f t="shared" ca="1" si="257"/>
        <v>Josh</v>
      </c>
      <c r="L297" s="13" t="str">
        <f t="shared" ca="1" si="258"/>
        <v>Christmas</v>
      </c>
      <c r="M297" s="13" t="str">
        <f t="shared" ca="1" si="259"/>
        <v/>
      </c>
      <c r="N297" s="13" t="str">
        <f t="shared" ca="1" si="260"/>
        <v/>
      </c>
      <c r="O297" s="13" t="str">
        <f t="shared" ca="1" si="261"/>
        <v>Megan</v>
      </c>
      <c r="P297" s="13" t="str">
        <f t="shared" ca="1" si="262"/>
        <v>Megan</v>
      </c>
      <c r="Q297" s="13" t="str">
        <f t="shared" ca="1" si="263"/>
        <v>Mark</v>
      </c>
      <c r="R297" s="13" t="str">
        <f t="shared" ca="1" si="264"/>
        <v>Cody</v>
      </c>
      <c r="S297" s="13"/>
      <c r="T297" s="13"/>
      <c r="U297" s="13"/>
      <c r="V297" s="13"/>
    </row>
    <row r="298" spans="1:22" x14ac:dyDescent="0.25">
      <c r="A298" s="13"/>
      <c r="B298" s="13" t="str">
        <f t="shared" ca="1" si="247"/>
        <v>Megan</v>
      </c>
      <c r="C298" s="13" t="str">
        <f t="shared" ca="1" si="249"/>
        <v/>
      </c>
      <c r="D298" s="13" t="str">
        <f t="shared" ca="1" si="250"/>
        <v/>
      </c>
      <c r="E298" s="13" t="str">
        <f t="shared" ca="1" si="251"/>
        <v>Christmas</v>
      </c>
      <c r="F298" s="13" t="str">
        <f t="shared" ca="1" si="252"/>
        <v>Alex</v>
      </c>
      <c r="G298" s="13" t="str">
        <f t="shared" ca="1" si="253"/>
        <v>Megan</v>
      </c>
      <c r="H298" s="13" t="str">
        <f t="shared" ca="1" si="254"/>
        <v/>
      </c>
      <c r="I298" s="13" t="str">
        <f t="shared" ca="1" si="255"/>
        <v>Christmas</v>
      </c>
      <c r="J298" s="13" t="str">
        <f t="shared" ca="1" si="256"/>
        <v>Matt</v>
      </c>
      <c r="K298" s="13" t="str">
        <f t="shared" ca="1" si="257"/>
        <v>Jillian</v>
      </c>
      <c r="L298" s="13" t="str">
        <f t="shared" ca="1" si="258"/>
        <v>Cameron</v>
      </c>
      <c r="M298" s="13" t="str">
        <f t="shared" ca="1" si="259"/>
        <v/>
      </c>
      <c r="N298" s="13" t="str">
        <f t="shared" ca="1" si="260"/>
        <v/>
      </c>
      <c r="O298" s="13" t="str">
        <f t="shared" ca="1" si="261"/>
        <v>Christmas</v>
      </c>
      <c r="P298" s="13" t="str">
        <f t="shared" ca="1" si="262"/>
        <v>Cody</v>
      </c>
      <c r="Q298" s="13" t="str">
        <f t="shared" ca="1" si="263"/>
        <v>Jason</v>
      </c>
      <c r="R298" s="13" t="str">
        <f t="shared" ca="1" si="264"/>
        <v>Matt</v>
      </c>
      <c r="S298" s="13"/>
      <c r="T298" s="13"/>
      <c r="U298" s="13"/>
      <c r="V298" s="13"/>
    </row>
    <row r="299" spans="1:2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x14ac:dyDescent="0.25">
      <c r="B300" s="47" t="str">
        <f t="shared" ref="B300:R300" ca="1" si="265">IF(B287="","",B287)</f>
        <v>Raven</v>
      </c>
      <c r="C300" s="47" t="str">
        <f t="shared" ca="1" si="265"/>
        <v/>
      </c>
      <c r="D300" s="47" t="str">
        <f t="shared" ca="1" si="265"/>
        <v/>
      </c>
      <c r="E300" s="47" t="str">
        <f t="shared" ca="1" si="265"/>
        <v>Megan</v>
      </c>
      <c r="F300" s="47" t="str">
        <f t="shared" ca="1" si="265"/>
        <v>Matt</v>
      </c>
      <c r="G300" s="47" t="str">
        <f t="shared" ca="1" si="265"/>
        <v>Mark</v>
      </c>
      <c r="H300" s="47" t="str">
        <f t="shared" ca="1" si="265"/>
        <v/>
      </c>
      <c r="I300" s="47" t="str">
        <f t="shared" ca="1" si="265"/>
        <v>Josh</v>
      </c>
      <c r="J300" s="47" t="str">
        <f t="shared" ca="1" si="265"/>
        <v>Jillian</v>
      </c>
      <c r="K300" s="47" t="str">
        <f t="shared" ca="1" si="265"/>
        <v>Jessica</v>
      </c>
      <c r="L300" s="47" t="str">
        <f t="shared" ca="1" si="265"/>
        <v>Jason</v>
      </c>
      <c r="M300" s="47" t="str">
        <f t="shared" ca="1" si="265"/>
        <v/>
      </c>
      <c r="N300" s="47" t="str">
        <f t="shared" ca="1" si="265"/>
        <v/>
      </c>
      <c r="O300" s="47" t="str">
        <f t="shared" ca="1" si="265"/>
        <v>Cody</v>
      </c>
      <c r="P300" s="47" t="str">
        <f t="shared" ca="1" si="265"/>
        <v>Christmas</v>
      </c>
      <c r="Q300" s="47" t="str">
        <f t="shared" ca="1" si="265"/>
        <v>Cameron</v>
      </c>
      <c r="R300" s="47" t="str">
        <f t="shared" ca="1" si="265"/>
        <v>Alex</v>
      </c>
      <c r="S300" s="13"/>
      <c r="T300" s="13"/>
      <c r="U300" s="13"/>
      <c r="V300" s="13"/>
    </row>
    <row r="301" spans="1:22" x14ac:dyDescent="0.25">
      <c r="A301" s="13" t="str">
        <f ca="1">Game!H916</f>
        <v>Christmas</v>
      </c>
      <c r="B301" s="13">
        <f ca="1">IF(B300="","",INDEX(B$2:B$18,MATCH($A301,$A$2:$A$18,0)))</f>
        <v>49.206725336114673</v>
      </c>
      <c r="C301" s="13" t="str">
        <f t="shared" ref="C301" ca="1" si="266">IF(C300="","",INDEX(C$2:C$18,MATCH($A301,$A$2:$A$18,0)))</f>
        <v/>
      </c>
      <c r="D301" s="13" t="str">
        <f ca="1">IF(D300="","",INDEX(D$2:D$18,MATCH($A301,$A$2:$A$18,0)))</f>
        <v/>
      </c>
      <c r="E301" s="13">
        <f t="shared" ref="E301:Q301" ca="1" si="267">IF(E300="","",INDEX(E$2:E$18,MATCH($A301,$A$2:$A$18,0)))</f>
        <v>7.1318867821929848</v>
      </c>
      <c r="F301" s="13">
        <f t="shared" ca="1" si="267"/>
        <v>85.372246819883017</v>
      </c>
      <c r="G301" s="13">
        <f t="shared" ca="1" si="267"/>
        <v>72.406235089083978</v>
      </c>
      <c r="H301" s="13" t="str">
        <f t="shared" ca="1" si="267"/>
        <v/>
      </c>
      <c r="I301" s="13">
        <f t="shared" ca="1" si="267"/>
        <v>15.17715993671249</v>
      </c>
      <c r="J301" s="13">
        <f t="shared" ca="1" si="267"/>
        <v>45.133515745606985</v>
      </c>
      <c r="K301" s="13">
        <f t="shared" ca="1" si="267"/>
        <v>68.240859442058181</v>
      </c>
      <c r="L301" s="13">
        <f t="shared" ca="1" si="267"/>
        <v>22.004949710265894</v>
      </c>
      <c r="M301" s="13" t="str">
        <f t="shared" ca="1" si="267"/>
        <v/>
      </c>
      <c r="N301" s="13" t="str">
        <f t="shared" ca="1" si="267"/>
        <v/>
      </c>
      <c r="O301" s="13">
        <f t="shared" ca="1" si="267"/>
        <v>2.2850546326158266E-2</v>
      </c>
      <c r="P301" s="13">
        <f t="shared" ca="1" si="267"/>
        <v>101</v>
      </c>
      <c r="Q301" s="13">
        <f t="shared" ca="1" si="267"/>
        <v>19.010344079183941</v>
      </c>
      <c r="R301" s="13">
        <f ca="1">IF(R300="","",INDEX(R$2:R$18,MATCH($A301,$A$2:$A$18,0)))</f>
        <v>39.09271954602108</v>
      </c>
      <c r="S301" s="13"/>
      <c r="T301" s="13"/>
      <c r="U301" s="13"/>
      <c r="V301" s="13"/>
    </row>
    <row r="302" spans="1:2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x14ac:dyDescent="0.25">
      <c r="A303" s="13"/>
      <c r="B303" s="13" t="str">
        <f t="shared" ref="B303:R303" ca="1" si="268">B300</f>
        <v>Raven</v>
      </c>
      <c r="C303" s="13" t="str">
        <f t="shared" ca="1" si="268"/>
        <v/>
      </c>
      <c r="D303" s="13" t="str">
        <f t="shared" ca="1" si="268"/>
        <v/>
      </c>
      <c r="E303" s="13" t="str">
        <f t="shared" ca="1" si="268"/>
        <v>Megan</v>
      </c>
      <c r="F303" s="13" t="str">
        <f t="shared" ca="1" si="268"/>
        <v>Matt</v>
      </c>
      <c r="G303" s="13" t="str">
        <f t="shared" ca="1" si="268"/>
        <v>Mark</v>
      </c>
      <c r="H303" s="13" t="str">
        <f t="shared" ca="1" si="268"/>
        <v/>
      </c>
      <c r="I303" s="13" t="str">
        <f t="shared" ca="1" si="268"/>
        <v>Josh</v>
      </c>
      <c r="J303" s="13" t="str">
        <f t="shared" ca="1" si="268"/>
        <v>Jillian</v>
      </c>
      <c r="K303" s="13" t="str">
        <f t="shared" ca="1" si="268"/>
        <v>Jessica</v>
      </c>
      <c r="L303" s="13" t="str">
        <f t="shared" ca="1" si="268"/>
        <v>Jason</v>
      </c>
      <c r="M303" s="13" t="str">
        <f t="shared" ca="1" si="268"/>
        <v/>
      </c>
      <c r="N303" s="13" t="str">
        <f t="shared" ca="1" si="268"/>
        <v/>
      </c>
      <c r="O303" s="13" t="str">
        <f t="shared" ca="1" si="268"/>
        <v>Cody</v>
      </c>
      <c r="P303" s="13" t="str">
        <f t="shared" ca="1" si="268"/>
        <v>Christmas</v>
      </c>
      <c r="Q303" s="13" t="str">
        <f t="shared" ca="1" si="268"/>
        <v>Cameron</v>
      </c>
      <c r="R303" s="13" t="str">
        <f t="shared" ca="1" si="268"/>
        <v>Alex</v>
      </c>
      <c r="S303" s="13"/>
      <c r="T303" s="13"/>
      <c r="U303" s="13"/>
      <c r="V303" s="13"/>
    </row>
    <row r="304" spans="1:22" x14ac:dyDescent="0.25">
      <c r="A304" s="13" t="str">
        <f ca="1">Game!F970</f>
        <v>Raven</v>
      </c>
      <c r="B304" s="13">
        <f ca="1">IF(B303="","",INDEX(B$2:B$18,MATCH($A304,$A$2:$A$18,0)))</f>
        <v>101</v>
      </c>
      <c r="C304" s="13" t="str">
        <f t="shared" ref="C304:R304" ca="1" si="269">IF(C303="","",INDEX(C$2:C$18,MATCH($A304,$A$2:$A$18,0)))</f>
        <v/>
      </c>
      <c r="D304" s="13" t="str">
        <f t="shared" ca="1" si="269"/>
        <v/>
      </c>
      <c r="E304" s="13">
        <f t="shared" ca="1" si="269"/>
        <v>10.140565248618941</v>
      </c>
      <c r="F304" s="13">
        <f t="shared" ca="1" si="269"/>
        <v>16.041606218120869</v>
      </c>
      <c r="G304" s="13">
        <f t="shared" ca="1" si="269"/>
        <v>14.404075662040396</v>
      </c>
      <c r="H304" s="13" t="str">
        <f t="shared" ca="1" si="269"/>
        <v/>
      </c>
      <c r="I304" s="13">
        <f t="shared" ca="1" si="269"/>
        <v>16.322321659313264</v>
      </c>
      <c r="J304" s="13">
        <f t="shared" ca="1" si="269"/>
        <v>25.012998050500968</v>
      </c>
      <c r="K304" s="13">
        <f t="shared" ca="1" si="269"/>
        <v>82.335943293871836</v>
      </c>
      <c r="L304" s="13">
        <f t="shared" ca="1" si="269"/>
        <v>26.449699295094824</v>
      </c>
      <c r="M304" s="13" t="str">
        <f t="shared" ca="1" si="269"/>
        <v/>
      </c>
      <c r="N304" s="13" t="str">
        <f t="shared" ca="1" si="269"/>
        <v/>
      </c>
      <c r="O304" s="13">
        <f t="shared" ca="1" si="269"/>
        <v>73.03778757742748</v>
      </c>
      <c r="P304" s="13">
        <f t="shared" ca="1" si="269"/>
        <v>49.206725336114673</v>
      </c>
      <c r="Q304" s="13">
        <f t="shared" ca="1" si="269"/>
        <v>47.409368445659858</v>
      </c>
      <c r="R304" s="13">
        <f t="shared" ca="1" si="269"/>
        <v>27.072683409527087</v>
      </c>
      <c r="S304" s="13"/>
      <c r="T304" s="13"/>
      <c r="U304" s="13"/>
      <c r="V304" s="13"/>
    </row>
    <row r="305" spans="1:2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x14ac:dyDescent="0.25">
      <c r="A306" t="s">
        <v>113</v>
      </c>
      <c r="B306" t="str">
        <f ca="1">Game!F963</f>
        <v>Cody</v>
      </c>
      <c r="C306" t="str">
        <f ca="1">Game!F964</f>
        <v>Megan</v>
      </c>
      <c r="D306" t="str">
        <f ca="1">Game!F965</f>
        <v>Alex</v>
      </c>
      <c r="E306" s="13"/>
      <c r="F306" s="13"/>
      <c r="G306" s="13"/>
      <c r="H306" s="13"/>
      <c r="I306" s="13"/>
      <c r="J306" s="13"/>
      <c r="K306" s="13"/>
      <c r="L306" s="13"/>
      <c r="M306" s="13"/>
      <c r="N306" s="13"/>
      <c r="O306" s="13"/>
      <c r="P306" s="13"/>
      <c r="Q306" s="13"/>
      <c r="R306" s="13"/>
      <c r="S306" s="13"/>
      <c r="T306" s="13"/>
      <c r="U306" s="13"/>
      <c r="V306" s="13"/>
    </row>
    <row r="307" spans="1:22" x14ac:dyDescent="0.25">
      <c r="A307">
        <f>A276</f>
        <v>65</v>
      </c>
      <c r="B307" t="str">
        <f ca="1">IF(COUNTIF($B306:$D306,B$1)=0,"",B$1)</f>
        <v/>
      </c>
      <c r="C307" t="str">
        <f t="shared" ref="C307:R307" ca="1" si="270">IF(COUNTIF($B306:$D306,C$1)=0,"",C$1)</f>
        <v/>
      </c>
      <c r="D307" t="str">
        <f t="shared" ca="1" si="270"/>
        <v/>
      </c>
      <c r="E307" t="str">
        <f t="shared" ca="1" si="270"/>
        <v>Megan</v>
      </c>
      <c r="F307" t="str">
        <f t="shared" ca="1" si="270"/>
        <v/>
      </c>
      <c r="G307" t="str">
        <f t="shared" ca="1" si="270"/>
        <v/>
      </c>
      <c r="H307" t="str">
        <f t="shared" ca="1" si="270"/>
        <v/>
      </c>
      <c r="I307" t="str">
        <f t="shared" ca="1" si="270"/>
        <v/>
      </c>
      <c r="J307" t="str">
        <f t="shared" ca="1" si="270"/>
        <v/>
      </c>
      <c r="K307" t="str">
        <f t="shared" ca="1" si="270"/>
        <v/>
      </c>
      <c r="L307" t="str">
        <f t="shared" ca="1" si="270"/>
        <v/>
      </c>
      <c r="M307" t="str">
        <f t="shared" ca="1" si="270"/>
        <v/>
      </c>
      <c r="N307" t="str">
        <f t="shared" ca="1" si="270"/>
        <v/>
      </c>
      <c r="O307" t="str">
        <f t="shared" ca="1" si="270"/>
        <v>Cody</v>
      </c>
      <c r="P307" t="str">
        <f t="shared" ca="1" si="270"/>
        <v/>
      </c>
      <c r="Q307" t="str">
        <f t="shared" ca="1" si="270"/>
        <v/>
      </c>
      <c r="R307" t="str">
        <f t="shared" ca="1" si="270"/>
        <v>Alex</v>
      </c>
      <c r="S307" s="13"/>
      <c r="T307" s="13"/>
      <c r="U307" s="13"/>
      <c r="V307" s="13"/>
    </row>
    <row r="308" spans="1:22" x14ac:dyDescent="0.25">
      <c r="A308" t="str">
        <f ca="1">Game!H982</f>
        <v>Cody</v>
      </c>
      <c r="B308" t="str">
        <f t="shared" ref="B308:R308" ca="1" si="271">IF(B307="","",INDEX(B$2:B$18,MATCH($A$308,$A$2:$A$18,0)))</f>
        <v/>
      </c>
      <c r="C308" t="str">
        <f t="shared" ca="1" si="271"/>
        <v/>
      </c>
      <c r="D308" t="str">
        <f t="shared" ca="1" si="271"/>
        <v/>
      </c>
      <c r="E308">
        <f t="shared" ca="1" si="271"/>
        <v>18.048940847008435</v>
      </c>
      <c r="F308" t="str">
        <f t="shared" ca="1" si="271"/>
        <v/>
      </c>
      <c r="G308" t="str">
        <f t="shared" ca="1" si="271"/>
        <v/>
      </c>
      <c r="H308" t="str">
        <f t="shared" ca="1" si="271"/>
        <v/>
      </c>
      <c r="I308" t="str">
        <f t="shared" ca="1" si="271"/>
        <v/>
      </c>
      <c r="J308" t="str">
        <f t="shared" ca="1" si="271"/>
        <v/>
      </c>
      <c r="K308" t="str">
        <f t="shared" ca="1" si="271"/>
        <v/>
      </c>
      <c r="L308" t="str">
        <f t="shared" ca="1" si="271"/>
        <v/>
      </c>
      <c r="M308" t="str">
        <f t="shared" ca="1" si="271"/>
        <v/>
      </c>
      <c r="N308" t="str">
        <f t="shared" ca="1" si="271"/>
        <v/>
      </c>
      <c r="O308">
        <f t="shared" ca="1" si="271"/>
        <v>101</v>
      </c>
      <c r="P308" t="str">
        <f t="shared" ca="1" si="271"/>
        <v/>
      </c>
      <c r="Q308" t="str">
        <f t="shared" ca="1" si="271"/>
        <v/>
      </c>
      <c r="R308">
        <f t="shared" ca="1" si="271"/>
        <v>23.434421387666173</v>
      </c>
      <c r="S308" s="13"/>
      <c r="T308" s="13"/>
      <c r="U308" s="13"/>
      <c r="V308" s="13"/>
    </row>
    <row r="309" spans="1:22" x14ac:dyDescent="0.25">
      <c r="A309">
        <f ca="1">LARGE(B308:R308,1)</f>
        <v>101</v>
      </c>
      <c r="E309" s="13"/>
      <c r="F309" s="13"/>
      <c r="G309" s="13"/>
      <c r="H309" s="13"/>
      <c r="I309" s="13"/>
      <c r="J309" s="13"/>
      <c r="K309" s="13"/>
      <c r="L309" s="13"/>
      <c r="M309" s="13"/>
      <c r="N309" s="13"/>
      <c r="O309" s="13"/>
      <c r="P309" s="13"/>
      <c r="Q309" s="13"/>
      <c r="R309" s="13"/>
      <c r="S309" s="13"/>
      <c r="T309" s="13"/>
      <c r="U309" s="13"/>
      <c r="V309" s="13"/>
    </row>
    <row r="310" spans="1:22" x14ac:dyDescent="0.25">
      <c r="A310" t="str">
        <f ca="1">IF(A309&lt;=A307-1,IF(D306="","Neither Nominee","Nobody"),INDEX(B307:R307,MATCH(A309,B308:R308,0)))</f>
        <v>Cody</v>
      </c>
      <c r="E310" s="13"/>
      <c r="F310" s="13"/>
      <c r="G310" s="13"/>
      <c r="H310" s="13"/>
      <c r="I310" s="13"/>
      <c r="J310" s="13"/>
      <c r="K310" s="13"/>
      <c r="L310" s="13"/>
      <c r="M310" s="13"/>
      <c r="N310" s="13"/>
      <c r="O310" s="13"/>
      <c r="P310" s="13"/>
      <c r="Q310" s="13"/>
      <c r="R310" s="13"/>
      <c r="S310" s="13"/>
      <c r="T310" s="13"/>
      <c r="U310" s="13"/>
      <c r="V310" s="13"/>
    </row>
    <row r="311" spans="1:2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x14ac:dyDescent="0.25">
      <c r="A312" t="s">
        <v>113</v>
      </c>
      <c r="B312" s="13" t="str">
        <f ca="1">Game!G996</f>
        <v>Josh</v>
      </c>
      <c r="C312" s="13" t="str">
        <f ca="1">Game!H996</f>
        <v>Megan</v>
      </c>
      <c r="D312" s="13" t="str">
        <f ca="1">Game!I996</f>
        <v>Alex</v>
      </c>
      <c r="E312" s="13"/>
      <c r="F312" s="13"/>
      <c r="G312" s="13"/>
      <c r="H312" s="13"/>
      <c r="I312" s="13"/>
      <c r="J312" s="13"/>
      <c r="K312" s="13"/>
      <c r="L312" s="13"/>
      <c r="M312" s="13"/>
      <c r="N312" s="13"/>
      <c r="O312" s="13"/>
      <c r="P312" s="13"/>
      <c r="Q312" s="13"/>
      <c r="R312" s="13"/>
      <c r="S312" s="13"/>
      <c r="T312" s="13"/>
      <c r="U312" s="13"/>
      <c r="V312" s="13"/>
    </row>
    <row r="313" spans="1:22" x14ac:dyDescent="0.25">
      <c r="A313">
        <f>A307</f>
        <v>65</v>
      </c>
      <c r="B313" t="str">
        <f ca="1">IF(COUNTIF($B312:$D312,B$1)=0,"",B$1)</f>
        <v/>
      </c>
      <c r="C313" t="str">
        <f t="shared" ref="C313:R313" ca="1" si="272">IF(COUNTIF($B312:$D312,C$1)=0,"",C$1)</f>
        <v/>
      </c>
      <c r="D313" t="str">
        <f t="shared" ca="1" si="272"/>
        <v/>
      </c>
      <c r="E313" t="str">
        <f t="shared" ca="1" si="272"/>
        <v>Megan</v>
      </c>
      <c r="F313" t="str">
        <f t="shared" ca="1" si="272"/>
        <v/>
      </c>
      <c r="G313" t="str">
        <f t="shared" ca="1" si="272"/>
        <v/>
      </c>
      <c r="H313" t="str">
        <f t="shared" ca="1" si="272"/>
        <v/>
      </c>
      <c r="I313" t="str">
        <f t="shared" ca="1" si="272"/>
        <v>Josh</v>
      </c>
      <c r="J313" t="str">
        <f t="shared" ca="1" si="272"/>
        <v/>
      </c>
      <c r="K313" t="str">
        <f t="shared" ca="1" si="272"/>
        <v/>
      </c>
      <c r="L313" t="str">
        <f t="shared" ca="1" si="272"/>
        <v/>
      </c>
      <c r="M313" t="str">
        <f t="shared" ca="1" si="272"/>
        <v/>
      </c>
      <c r="N313" t="str">
        <f t="shared" ca="1" si="272"/>
        <v/>
      </c>
      <c r="O313" t="str">
        <f t="shared" ca="1" si="272"/>
        <v/>
      </c>
      <c r="P313" t="str">
        <f t="shared" ca="1" si="272"/>
        <v/>
      </c>
      <c r="Q313" t="str">
        <f t="shared" ca="1" si="272"/>
        <v/>
      </c>
      <c r="R313" t="str">
        <f t="shared" ca="1" si="272"/>
        <v>Alex</v>
      </c>
      <c r="S313" s="13"/>
      <c r="T313" s="13"/>
      <c r="U313" s="13"/>
      <c r="V313" s="13"/>
    </row>
    <row r="314" spans="1:22" x14ac:dyDescent="0.25">
      <c r="A314" s="13" t="str">
        <f ca="1">A277</f>
        <v>Matt</v>
      </c>
      <c r="B314" t="str">
        <f t="shared" ref="B314:O314" ca="1" si="273">IF(B313="","",INDEX(B$2:B$18,MATCH($A$154,$A$2:$A$18,0)))</f>
        <v/>
      </c>
      <c r="C314" t="str">
        <f t="shared" ca="1" si="273"/>
        <v/>
      </c>
      <c r="D314" t="str">
        <f t="shared" ca="1" si="273"/>
        <v/>
      </c>
      <c r="E314">
        <f t="shared" ca="1" si="273"/>
        <v>72.313428826708588</v>
      </c>
      <c r="F314" t="str">
        <f t="shared" ca="1" si="273"/>
        <v/>
      </c>
      <c r="G314" t="str">
        <f t="shared" ca="1" si="273"/>
        <v/>
      </c>
      <c r="H314" t="str">
        <f t="shared" ca="1" si="273"/>
        <v/>
      </c>
      <c r="I314">
        <f t="shared" ca="1" si="273"/>
        <v>68.143352648752639</v>
      </c>
      <c r="J314" t="str">
        <f t="shared" ca="1" si="273"/>
        <v/>
      </c>
      <c r="K314" t="str">
        <f t="shared" ca="1" si="273"/>
        <v/>
      </c>
      <c r="L314" t="str">
        <f t="shared" ca="1" si="273"/>
        <v/>
      </c>
      <c r="M314" t="str">
        <f t="shared" ca="1" si="273"/>
        <v/>
      </c>
      <c r="N314" t="str">
        <f t="shared" ca="1" si="273"/>
        <v/>
      </c>
      <c r="O314" t="str">
        <f t="shared" ca="1" si="273"/>
        <v/>
      </c>
      <c r="P314" t="str">
        <f ca="1">IF(P313="","",INDEX(P$2:P$18,MATCH($A$154,$A$2:$A$18,0)))</f>
        <v/>
      </c>
      <c r="Q314" t="str">
        <f t="shared" ref="Q314:R314" ca="1" si="274">IF(Q313="","",INDEX(Q$2:Q$18,MATCH($A$154,$A$2:$A$18,0)))</f>
        <v/>
      </c>
      <c r="R314">
        <f t="shared" ca="1" si="274"/>
        <v>1.3087948788959189</v>
      </c>
      <c r="S314" s="13"/>
      <c r="T314" s="13"/>
      <c r="U314" s="13"/>
      <c r="V314" s="13"/>
    </row>
    <row r="315" spans="1:22" x14ac:dyDescent="0.25">
      <c r="A315" s="13" t="str">
        <f ca="1">IF(G315&lt;=F315,"Halt","No")</f>
        <v>Halt</v>
      </c>
      <c r="B315" s="13">
        <f ca="1">LARGE(B314:R314,1)</f>
        <v>72.313428826708588</v>
      </c>
      <c r="C315" s="13">
        <f ca="1">LARGE(B314:R314,2)</f>
        <v>68.143352648752639</v>
      </c>
      <c r="D315" s="13">
        <f ca="1">IF(D312="","",LARGE(B314:R314,3))</f>
        <v>1.3087948788959189</v>
      </c>
      <c r="E315" s="13">
        <f ca="1">IF(D315="",2,3)</f>
        <v>3</v>
      </c>
      <c r="F315" s="13">
        <f ca="1">COUNTIF(B315:D315,"&gt;="&amp;A313)-0.1</f>
        <v>1.9</v>
      </c>
      <c r="G315" s="13">
        <f ca="1">RANDBETWEEN(0,E315-1)</f>
        <v>0</v>
      </c>
      <c r="H315" s="13"/>
      <c r="I315" s="13"/>
      <c r="J315" s="13"/>
      <c r="K315" s="13"/>
      <c r="L315" s="13"/>
      <c r="M315" s="13"/>
      <c r="N315" s="13"/>
      <c r="O315" s="13"/>
      <c r="P315" s="13"/>
      <c r="Q315" s="13"/>
      <c r="R315" s="13"/>
      <c r="S315" s="13"/>
      <c r="T315" s="13"/>
      <c r="U315" s="13"/>
      <c r="V315" s="13"/>
    </row>
    <row r="316" spans="1:2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x14ac:dyDescent="0.25">
      <c r="A317" s="13"/>
      <c r="B317" s="13" t="str">
        <f t="shared" ref="B317:R317" ca="1" si="275">B287</f>
        <v>Raven</v>
      </c>
      <c r="C317" s="13" t="str">
        <f t="shared" ca="1" si="275"/>
        <v/>
      </c>
      <c r="D317" s="13" t="str">
        <f t="shared" ca="1" si="275"/>
        <v/>
      </c>
      <c r="E317" s="13" t="str">
        <f t="shared" ca="1" si="275"/>
        <v>Megan</v>
      </c>
      <c r="F317" s="13" t="str">
        <f t="shared" ca="1" si="275"/>
        <v>Matt</v>
      </c>
      <c r="G317" s="13" t="str">
        <f t="shared" ca="1" si="275"/>
        <v>Mark</v>
      </c>
      <c r="H317" s="13" t="str">
        <f t="shared" ca="1" si="275"/>
        <v/>
      </c>
      <c r="I317" s="13" t="str">
        <f t="shared" ca="1" si="275"/>
        <v>Josh</v>
      </c>
      <c r="J317" s="13" t="str">
        <f t="shared" ca="1" si="275"/>
        <v>Jillian</v>
      </c>
      <c r="K317" s="13" t="str">
        <f t="shared" ca="1" si="275"/>
        <v>Jessica</v>
      </c>
      <c r="L317" s="13" t="str">
        <f t="shared" ca="1" si="275"/>
        <v>Jason</v>
      </c>
      <c r="M317" s="13" t="str">
        <f t="shared" ca="1" si="275"/>
        <v/>
      </c>
      <c r="N317" s="13" t="str">
        <f t="shared" ca="1" si="275"/>
        <v/>
      </c>
      <c r="O317" s="13" t="str">
        <f t="shared" ca="1" si="275"/>
        <v>Cody</v>
      </c>
      <c r="P317" s="13" t="str">
        <f t="shared" ca="1" si="275"/>
        <v>Christmas</v>
      </c>
      <c r="Q317" s="13" t="str">
        <f t="shared" ca="1" si="275"/>
        <v>Cameron</v>
      </c>
      <c r="R317" s="13" t="str">
        <f t="shared" ca="1" si="275"/>
        <v>Alex</v>
      </c>
      <c r="S317" s="13"/>
      <c r="T317" s="13"/>
      <c r="U317" s="13"/>
      <c r="V317" s="13"/>
    </row>
    <row r="318" spans="1:22" x14ac:dyDescent="0.25">
      <c r="A318" s="13" t="str">
        <f ca="1">Game!G991</f>
        <v>Josh</v>
      </c>
      <c r="B318">
        <f t="shared" ref="B318" ca="1" si="276">IF(B317="","",INDEX(B$2:B$18,MATCH($A318,$A$2:$A$18,0)))</f>
        <v>16.322321659313264</v>
      </c>
      <c r="C318" t="str">
        <f ca="1">IF(C317="","",INDEX(C$2:C$18,MATCH($A318,$A$2:$A$18,0)))</f>
        <v/>
      </c>
      <c r="D318" t="str">
        <f t="shared" ref="D318:R318" ca="1" si="277">IF(D317="","",INDEX(D$2:D$18,MATCH($A318,$A$2:$A$18,0)))</f>
        <v/>
      </c>
      <c r="E318">
        <f t="shared" ca="1" si="277"/>
        <v>39.032209215594364</v>
      </c>
      <c r="F318">
        <f t="shared" ca="1" si="277"/>
        <v>68.143352648752639</v>
      </c>
      <c r="G318">
        <f t="shared" ca="1" si="277"/>
        <v>15.422138284256448</v>
      </c>
      <c r="H318" t="str">
        <f t="shared" ca="1" si="277"/>
        <v/>
      </c>
      <c r="I318">
        <f t="shared" ca="1" si="277"/>
        <v>101</v>
      </c>
      <c r="J318">
        <f t="shared" ca="1" si="277"/>
        <v>43.203446070435945</v>
      </c>
      <c r="K318">
        <f t="shared" ca="1" si="277"/>
        <v>27.107808049853908</v>
      </c>
      <c r="L318">
        <f t="shared" ca="1" si="277"/>
        <v>36.113202703490856</v>
      </c>
      <c r="M318" t="str">
        <f t="shared" ca="1" si="277"/>
        <v/>
      </c>
      <c r="N318" t="str">
        <f t="shared" ca="1" si="277"/>
        <v/>
      </c>
      <c r="O318">
        <f t="shared" ca="1" si="277"/>
        <v>68.054883665149632</v>
      </c>
      <c r="P318">
        <f t="shared" ca="1" si="277"/>
        <v>15.17715993671249</v>
      </c>
      <c r="Q318">
        <f t="shared" ca="1" si="277"/>
        <v>41.253573787864298</v>
      </c>
      <c r="R318">
        <f t="shared" ca="1" si="277"/>
        <v>43.418986695772595</v>
      </c>
      <c r="S318" s="13"/>
      <c r="T318" s="13"/>
      <c r="U318" s="13"/>
      <c r="V318" s="13"/>
    </row>
    <row r="319" spans="1:22" x14ac:dyDescent="0.25">
      <c r="A319" s="13" t="str">
        <f ca="1">Game!G992</f>
        <v>Megan</v>
      </c>
      <c r="B319">
        <f t="shared" ref="B319:R319" ca="1" si="278">IF(B318="","",INDEX(B$2:B$18,MATCH($A319,$A$2:$A$18,0)))</f>
        <v>10.140565248618941</v>
      </c>
      <c r="C319" t="str">
        <f t="shared" ca="1" si="278"/>
        <v/>
      </c>
      <c r="D319" t="str">
        <f t="shared" ca="1" si="278"/>
        <v/>
      </c>
      <c r="E319">
        <f t="shared" ca="1" si="278"/>
        <v>101</v>
      </c>
      <c r="F319">
        <f t="shared" ca="1" si="278"/>
        <v>72.313428826708588</v>
      </c>
      <c r="G319">
        <f t="shared" ca="1" si="278"/>
        <v>7.442508972552484</v>
      </c>
      <c r="H319" t="str">
        <f t="shared" ca="1" si="278"/>
        <v/>
      </c>
      <c r="I319">
        <f t="shared" ca="1" si="278"/>
        <v>39.032209215594364</v>
      </c>
      <c r="J319">
        <f t="shared" ca="1" si="278"/>
        <v>67.02518921112113</v>
      </c>
      <c r="K319">
        <f t="shared" ca="1" si="278"/>
        <v>28.04830338810412</v>
      </c>
      <c r="L319">
        <f t="shared" ca="1" si="278"/>
        <v>79.425080473582895</v>
      </c>
      <c r="M319" t="str">
        <f t="shared" ca="1" si="278"/>
        <v/>
      </c>
      <c r="N319" t="str">
        <f t="shared" ca="1" si="278"/>
        <v/>
      </c>
      <c r="O319">
        <f t="shared" ca="1" si="278"/>
        <v>18.048940847008435</v>
      </c>
      <c r="P319">
        <f t="shared" ca="1" si="278"/>
        <v>7.1318867821929848</v>
      </c>
      <c r="Q319">
        <f t="shared" ca="1" si="278"/>
        <v>61.288270954429585</v>
      </c>
      <c r="R319">
        <f t="shared" ca="1" si="278"/>
        <v>54.092933100007563</v>
      </c>
      <c r="S319" s="13"/>
      <c r="T319" s="13"/>
      <c r="U319" s="13"/>
      <c r="V319" s="13"/>
    </row>
    <row r="320" spans="1:22" x14ac:dyDescent="0.25">
      <c r="A320" s="13" t="str">
        <f ca="1">Game!G993</f>
        <v>Alex</v>
      </c>
      <c r="B320">
        <f ca="1">IF(A320="","",IF(B319="","",INDEX(B$2:B$18,MATCH($A320,$A$2:$A$18,0))))</f>
        <v>27.072683409527087</v>
      </c>
      <c r="C320" t="str">
        <f t="shared" ref="C320:R320" ca="1" si="279">IF($A320="","",IF(C319="","",INDEX(C$2:C$18,MATCH($A320,$A$2:$A$18,0))))</f>
        <v/>
      </c>
      <c r="D320" t="str">
        <f t="shared" ca="1" si="279"/>
        <v/>
      </c>
      <c r="E320">
        <f t="shared" ca="1" si="279"/>
        <v>54.092933100007563</v>
      </c>
      <c r="F320">
        <f t="shared" ca="1" si="279"/>
        <v>1.3087948788959189</v>
      </c>
      <c r="G320">
        <f t="shared" ca="1" si="279"/>
        <v>76.31237136960803</v>
      </c>
      <c r="H320" t="str">
        <f t="shared" ca="1" si="279"/>
        <v/>
      </c>
      <c r="I320">
        <f t="shared" ca="1" si="279"/>
        <v>43.418986695772595</v>
      </c>
      <c r="J320">
        <f t="shared" ca="1" si="279"/>
        <v>59.289460277888111</v>
      </c>
      <c r="K320">
        <f t="shared" ca="1" si="279"/>
        <v>38.251270749609361</v>
      </c>
      <c r="L320">
        <f t="shared" ca="1" si="279"/>
        <v>62.423641384313534</v>
      </c>
      <c r="M320" t="str">
        <f t="shared" ca="1" si="279"/>
        <v/>
      </c>
      <c r="N320" t="str">
        <f t="shared" ca="1" si="279"/>
        <v/>
      </c>
      <c r="O320">
        <f t="shared" ca="1" si="279"/>
        <v>23.434421387666173</v>
      </c>
      <c r="P320">
        <f t="shared" ca="1" si="279"/>
        <v>39.09271954602108</v>
      </c>
      <c r="Q320">
        <f t="shared" ca="1" si="279"/>
        <v>74.337936926232928</v>
      </c>
      <c r="R320">
        <f t="shared" ca="1" si="279"/>
        <v>101</v>
      </c>
      <c r="S320" s="13"/>
      <c r="T320" s="13"/>
      <c r="U320" s="13"/>
      <c r="V320" s="13"/>
    </row>
    <row r="321" spans="1:22" x14ac:dyDescent="0.25">
      <c r="A321" s="13"/>
      <c r="B321" t="str">
        <f ca="1">IF(B317="","",INDEX(A318:A320,MATCH(SMALL(B318:B320,1),B318:B320,0)))</f>
        <v>Megan</v>
      </c>
      <c r="C321" t="str">
        <f t="shared" ref="C321:R321" ca="1" si="280">IF(C317="","",INDEX($A318:$A320,MATCH(SMALL(C318:C320,1),C318:C320,0)))</f>
        <v/>
      </c>
      <c r="D321" t="str">
        <f t="shared" ca="1" si="280"/>
        <v/>
      </c>
      <c r="E321" t="str">
        <f t="shared" ca="1" si="280"/>
        <v>Josh</v>
      </c>
      <c r="F321" t="str">
        <f t="shared" ca="1" si="280"/>
        <v>Alex</v>
      </c>
      <c r="G321" t="str">
        <f t="shared" ca="1" si="280"/>
        <v>Megan</v>
      </c>
      <c r="H321" t="str">
        <f t="shared" ca="1" si="280"/>
        <v/>
      </c>
      <c r="I321" t="str">
        <f t="shared" ca="1" si="280"/>
        <v>Megan</v>
      </c>
      <c r="J321" t="str">
        <f t="shared" ca="1" si="280"/>
        <v>Josh</v>
      </c>
      <c r="K321" t="str">
        <f t="shared" ca="1" si="280"/>
        <v>Josh</v>
      </c>
      <c r="L321" t="str">
        <f t="shared" ca="1" si="280"/>
        <v>Josh</v>
      </c>
      <c r="M321" t="str">
        <f t="shared" ca="1" si="280"/>
        <v/>
      </c>
      <c r="N321" t="str">
        <f t="shared" ca="1" si="280"/>
        <v/>
      </c>
      <c r="O321" t="str">
        <f t="shared" ca="1" si="280"/>
        <v>Megan</v>
      </c>
      <c r="P321" t="str">
        <f t="shared" ca="1" si="280"/>
        <v>Megan</v>
      </c>
      <c r="Q321" t="str">
        <f t="shared" ca="1" si="280"/>
        <v>Josh</v>
      </c>
      <c r="R321" t="str">
        <f t="shared" ca="1" si="280"/>
        <v>Josh</v>
      </c>
      <c r="S321" s="13"/>
      <c r="T321" s="13"/>
      <c r="U321" s="13"/>
      <c r="V321" s="13"/>
    </row>
    <row r="322" spans="1:2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x14ac:dyDescent="0.25">
      <c r="A325" s="13" t="str">
        <f ca="1">Game!G1019</f>
        <v>Josh</v>
      </c>
      <c r="B325" s="13" t="str">
        <f t="shared" ref="B325" ca="1" si="281">IF(B287=$A325,"",B287)</f>
        <v>Raven</v>
      </c>
      <c r="C325" s="13" t="str">
        <f t="shared" ref="C325:R325" ca="1" si="282">IF(C287=$A325,"",C287)</f>
        <v/>
      </c>
      <c r="D325" s="13" t="str">
        <f t="shared" ca="1" si="282"/>
        <v/>
      </c>
      <c r="E325" s="13" t="str">
        <f t="shared" ca="1" si="282"/>
        <v>Megan</v>
      </c>
      <c r="F325" s="13" t="str">
        <f t="shared" ca="1" si="282"/>
        <v>Matt</v>
      </c>
      <c r="G325" s="13" t="str">
        <f t="shared" ca="1" si="282"/>
        <v>Mark</v>
      </c>
      <c r="H325" s="13" t="str">
        <f t="shared" ca="1" si="282"/>
        <v/>
      </c>
      <c r="I325" s="13" t="str">
        <f t="shared" ca="1" si="282"/>
        <v/>
      </c>
      <c r="J325" s="13" t="str">
        <f t="shared" ca="1" si="282"/>
        <v>Jillian</v>
      </c>
      <c r="K325" s="13" t="str">
        <f t="shared" ca="1" si="282"/>
        <v>Jessica</v>
      </c>
      <c r="L325" s="13" t="str">
        <f t="shared" ca="1" si="282"/>
        <v>Jason</v>
      </c>
      <c r="M325" s="13" t="str">
        <f t="shared" ca="1" si="282"/>
        <v/>
      </c>
      <c r="N325" s="13" t="str">
        <f t="shared" ca="1" si="282"/>
        <v/>
      </c>
      <c r="O325" s="13" t="str">
        <f t="shared" ca="1" si="282"/>
        <v>Cody</v>
      </c>
      <c r="P325" s="13" t="str">
        <f t="shared" ca="1" si="282"/>
        <v>Christmas</v>
      </c>
      <c r="Q325" s="13" t="str">
        <f t="shared" ca="1" si="282"/>
        <v>Cameron</v>
      </c>
      <c r="R325" s="13" t="str">
        <f t="shared" ca="1" si="282"/>
        <v>Alex</v>
      </c>
      <c r="S325" s="13"/>
      <c r="T325" s="13"/>
      <c r="U325" s="13"/>
      <c r="V325" s="13"/>
    </row>
    <row r="326" spans="1:22" x14ac:dyDescent="0.25">
      <c r="A326" s="13"/>
      <c r="B326" s="13" t="str">
        <f ca="1">IF(B325="","",IF(B288=$A$325,B289,B288))</f>
        <v>Jessica</v>
      </c>
      <c r="C326" s="13" t="str">
        <f t="shared" ref="C326:R326" ca="1" si="283">IF(C325="","",IF(C288=$A$325,C289,C288))</f>
        <v/>
      </c>
      <c r="D326" s="13" t="str">
        <f t="shared" ca="1" si="283"/>
        <v/>
      </c>
      <c r="E326" s="13" t="str">
        <f t="shared" ca="1" si="283"/>
        <v>Jason</v>
      </c>
      <c r="F326" s="13" t="str">
        <f t="shared" ca="1" si="283"/>
        <v>Christmas</v>
      </c>
      <c r="G326" s="13" t="str">
        <f t="shared" ca="1" si="283"/>
        <v>Alex</v>
      </c>
      <c r="H326" s="13" t="str">
        <f t="shared" ca="1" si="283"/>
        <v/>
      </c>
      <c r="I326" s="13" t="str">
        <f t="shared" ca="1" si="283"/>
        <v/>
      </c>
      <c r="J326" s="13" t="str">
        <f t="shared" ca="1" si="283"/>
        <v>Jason</v>
      </c>
      <c r="K326" s="13" t="str">
        <f t="shared" ca="1" si="283"/>
        <v>Raven</v>
      </c>
      <c r="L326" s="13" t="str">
        <f t="shared" ca="1" si="283"/>
        <v>Matt</v>
      </c>
      <c r="M326" s="13" t="str">
        <f t="shared" ca="1" si="283"/>
        <v/>
      </c>
      <c r="N326" s="13" t="str">
        <f t="shared" ca="1" si="283"/>
        <v/>
      </c>
      <c r="O326" s="13" t="str">
        <f t="shared" ca="1" si="283"/>
        <v>Matt</v>
      </c>
      <c r="P326" s="13" t="str">
        <f t="shared" ca="1" si="283"/>
        <v>Matt</v>
      </c>
      <c r="Q326" s="13" t="str">
        <f t="shared" ca="1" si="283"/>
        <v>Alex</v>
      </c>
      <c r="R326" s="13" t="str">
        <f t="shared" ca="1" si="283"/>
        <v>Mark</v>
      </c>
      <c r="S326" s="13"/>
      <c r="T326" s="13"/>
      <c r="U326" s="13"/>
      <c r="V326" s="13"/>
    </row>
    <row r="327" spans="1:22" x14ac:dyDescent="0.25">
      <c r="A327" s="13"/>
      <c r="B327" s="13" t="str">
        <f t="shared" ref="B327:B335" ca="1" si="284">IF(B$326="","",IF(B326=B289,B290,IF(B289=$A$325,B290,B289)))</f>
        <v>Cody</v>
      </c>
      <c r="C327" s="13" t="str">
        <f t="shared" ref="C327:C335" ca="1" si="285">IF(C$326="","",IF(C326=C289,C290,IF(C289=$A$325,C290,C289)))</f>
        <v/>
      </c>
      <c r="D327" s="13" t="str">
        <f t="shared" ref="D327:D335" ca="1" si="286">IF(D$326="","",IF(D326=D289,D290,IF(D289=$A$325,D290,D289)))</f>
        <v/>
      </c>
      <c r="E327" s="13" t="str">
        <f t="shared" ref="E327:E335" ca="1" si="287">IF(E$326="","",IF(E326=E289,E290,IF(E289=$A$325,E290,E289)))</f>
        <v>Matt</v>
      </c>
      <c r="F327" s="13" t="str">
        <f t="shared" ref="F327:F335" ca="1" si="288">IF(F$326="","",IF(F326=F289,F290,IF(F289=$A$325,F290,F289)))</f>
        <v>Jason</v>
      </c>
      <c r="G327" s="13" t="str">
        <f t="shared" ref="G327:G335" ca="1" si="289">IF(G$326="","",IF(G326=G289,G290,IF(G289=$A$325,G290,G289)))</f>
        <v>Christmas</v>
      </c>
      <c r="H327" s="13" t="str">
        <f t="shared" ref="H327:H335" ca="1" si="290">IF(H$326="","",IF(H326=H289,H290,IF(H289=$A$325,H290,H289)))</f>
        <v/>
      </c>
      <c r="I327" s="13" t="str">
        <f t="shared" ref="I327:I335" ca="1" si="291">IF(I$326="","",IF(I326=I289,I290,IF(I289=$A$325,I290,I289)))</f>
        <v/>
      </c>
      <c r="J327" s="13" t="str">
        <f t="shared" ref="J327:J335" ca="1" si="292">IF(J$326="","",IF(J326=J289,J290,IF(J289=$A$325,J290,J289)))</f>
        <v>Megan</v>
      </c>
      <c r="K327" s="13" t="str">
        <f t="shared" ref="K327:K335" ca="1" si="293">IF(K$326="","",IF(K326=K289,K290,IF(K289=$A$325,K290,K289)))</f>
        <v>Christmas</v>
      </c>
      <c r="L327" s="13" t="str">
        <f t="shared" ref="L327:L335" ca="1" si="294">IF(L$326="","",IF(L326=L289,L290,IF(L289=$A$325,L290,L289)))</f>
        <v>Megan</v>
      </c>
      <c r="M327" s="13" t="str">
        <f t="shared" ref="M327:M335" ca="1" si="295">IF(M$326="","",IF(M326=M289,M290,IF(M289=$A$325,M290,M289)))</f>
        <v/>
      </c>
      <c r="N327" s="13" t="str">
        <f t="shared" ref="N327:N335" ca="1" si="296">IF(N$326="","",IF(N326=N289,N290,IF(N289=$A$325,N290,N289)))</f>
        <v/>
      </c>
      <c r="O327" s="13" t="str">
        <f t="shared" ref="O327:O335" ca="1" si="297">IF(O$326="","",IF(O326=O289,O290,IF(O289=$A$325,O290,O289)))</f>
        <v>Raven</v>
      </c>
      <c r="P327" s="13" t="str">
        <f t="shared" ref="P327:P335" ca="1" si="298">IF(P$326="","",IF(P326=P289,P290,IF(P289=$A$325,P290,P289)))</f>
        <v>Mark</v>
      </c>
      <c r="Q327" s="13" t="str">
        <f t="shared" ref="Q327:Q335" ca="1" si="299">IF(Q$326="","",IF(Q326=Q289,Q290,IF(Q289=$A$325,Q290,Q289)))</f>
        <v>Cody</v>
      </c>
      <c r="R327" s="13" t="str">
        <f t="shared" ref="R327:R335" ca="1" si="300">IF(R$326="","",IF(R326=R289,R290,IF(R289=$A$325,R290,R289)))</f>
        <v>Cameron</v>
      </c>
      <c r="S327" s="13"/>
      <c r="T327" s="13"/>
      <c r="U327" s="13"/>
      <c r="V327" s="13"/>
    </row>
    <row r="328" spans="1:22" x14ac:dyDescent="0.25">
      <c r="A328" s="13"/>
      <c r="B328" s="13" t="str">
        <f t="shared" ca="1" si="284"/>
        <v>Christmas</v>
      </c>
      <c r="C328" s="13" t="str">
        <f t="shared" ca="1" si="285"/>
        <v/>
      </c>
      <c r="D328" s="13" t="str">
        <f t="shared" ca="1" si="286"/>
        <v/>
      </c>
      <c r="E328" s="13" t="str">
        <f t="shared" ca="1" si="287"/>
        <v>Jillian</v>
      </c>
      <c r="F328" s="13" t="str">
        <f t="shared" ca="1" si="288"/>
        <v>Cody</v>
      </c>
      <c r="G328" s="13" t="str">
        <f t="shared" ca="1" si="289"/>
        <v>Jessica</v>
      </c>
      <c r="H328" s="13" t="str">
        <f t="shared" ca="1" si="290"/>
        <v/>
      </c>
      <c r="I328" s="13" t="str">
        <f t="shared" ca="1" si="291"/>
        <v/>
      </c>
      <c r="J328" s="13" t="str">
        <f t="shared" ca="1" si="292"/>
        <v>Cameron</v>
      </c>
      <c r="K328" s="13" t="str">
        <f t="shared" ca="1" si="293"/>
        <v>Mark</v>
      </c>
      <c r="L328" s="13" t="str">
        <f t="shared" ca="1" si="294"/>
        <v>Jillian</v>
      </c>
      <c r="M328" s="13" t="str">
        <f t="shared" ca="1" si="295"/>
        <v/>
      </c>
      <c r="N328" s="13" t="str">
        <f t="shared" ca="1" si="296"/>
        <v/>
      </c>
      <c r="O328" s="13" t="str">
        <f t="shared" ca="1" si="297"/>
        <v>Cameron</v>
      </c>
      <c r="P328" s="13" t="str">
        <f t="shared" ca="1" si="298"/>
        <v>Jessica</v>
      </c>
      <c r="Q328" s="13" t="str">
        <f t="shared" ca="1" si="299"/>
        <v>Matt</v>
      </c>
      <c r="R328" s="13" t="str">
        <f t="shared" ca="1" si="300"/>
        <v>Jason</v>
      </c>
      <c r="S328" s="13"/>
      <c r="T328" s="13"/>
      <c r="U328" s="13"/>
      <c r="V328" s="13"/>
    </row>
    <row r="329" spans="1:22" x14ac:dyDescent="0.25">
      <c r="A329" s="13"/>
      <c r="B329" s="13" t="str">
        <f t="shared" ca="1" si="284"/>
        <v>Cameron</v>
      </c>
      <c r="C329" s="13" t="str">
        <f t="shared" ca="1" si="285"/>
        <v/>
      </c>
      <c r="D329" s="13" t="str">
        <f t="shared" ca="1" si="286"/>
        <v/>
      </c>
      <c r="E329" s="13" t="str">
        <f t="shared" ca="1" si="287"/>
        <v>Cameron</v>
      </c>
      <c r="F329" s="13" t="str">
        <f t="shared" ca="1" si="288"/>
        <v>Megan</v>
      </c>
      <c r="G329" s="13" t="str">
        <f t="shared" ca="1" si="289"/>
        <v>Jason</v>
      </c>
      <c r="H329" s="13" t="str">
        <f t="shared" ca="1" si="290"/>
        <v/>
      </c>
      <c r="I329" s="13" t="str">
        <f t="shared" ca="1" si="291"/>
        <v/>
      </c>
      <c r="J329" s="13" t="str">
        <f t="shared" ca="1" si="292"/>
        <v>Alex</v>
      </c>
      <c r="K329" s="13" t="str">
        <f t="shared" ca="1" si="293"/>
        <v>Jason</v>
      </c>
      <c r="L329" s="13" t="str">
        <f t="shared" ca="1" si="294"/>
        <v>Alex</v>
      </c>
      <c r="M329" s="13" t="str">
        <f t="shared" ca="1" si="295"/>
        <v/>
      </c>
      <c r="N329" s="13" t="str">
        <f t="shared" ca="1" si="296"/>
        <v/>
      </c>
      <c r="O329" s="13" t="str">
        <f t="shared" ca="1" si="297"/>
        <v>Jillian</v>
      </c>
      <c r="P329" s="13" t="str">
        <f t="shared" ca="1" si="298"/>
        <v>Raven</v>
      </c>
      <c r="Q329" s="13" t="str">
        <f t="shared" ca="1" si="299"/>
        <v>Jillian</v>
      </c>
      <c r="R329" s="13" t="str">
        <f t="shared" ca="1" si="300"/>
        <v>Jillian</v>
      </c>
      <c r="S329" s="13"/>
      <c r="T329" s="13"/>
      <c r="U329" s="13"/>
      <c r="V329" s="13"/>
    </row>
    <row r="330" spans="1:22" x14ac:dyDescent="0.25">
      <c r="A330" s="13"/>
      <c r="B330" s="13" t="str">
        <f t="shared" ca="1" si="284"/>
        <v>Alex</v>
      </c>
      <c r="C330" s="13" t="str">
        <f t="shared" ca="1" si="285"/>
        <v/>
      </c>
      <c r="D330" s="13" t="str">
        <f t="shared" ca="1" si="286"/>
        <v/>
      </c>
      <c r="E330" s="13" t="str">
        <f t="shared" ca="1" si="287"/>
        <v>Alex</v>
      </c>
      <c r="F330" s="13" t="str">
        <f t="shared" ca="1" si="288"/>
        <v>Cameron</v>
      </c>
      <c r="G330" s="13" t="str">
        <f t="shared" ca="1" si="289"/>
        <v>Jillian</v>
      </c>
      <c r="H330" s="13" t="str">
        <f t="shared" ca="1" si="290"/>
        <v/>
      </c>
      <c r="I330" s="13" t="str">
        <f t="shared" ca="1" si="291"/>
        <v/>
      </c>
      <c r="J330" s="13" t="str">
        <f t="shared" ca="1" si="292"/>
        <v>Cody</v>
      </c>
      <c r="K330" s="13" t="str">
        <f t="shared" ca="1" si="293"/>
        <v>Cody</v>
      </c>
      <c r="L330" s="13" t="str">
        <f t="shared" ca="1" si="294"/>
        <v>Jessica</v>
      </c>
      <c r="M330" s="13" t="str">
        <f t="shared" ca="1" si="295"/>
        <v/>
      </c>
      <c r="N330" s="13" t="str">
        <f t="shared" ca="1" si="296"/>
        <v/>
      </c>
      <c r="O330" s="13" t="str">
        <f t="shared" ca="1" si="297"/>
        <v>Jessica</v>
      </c>
      <c r="P330" s="13" t="str">
        <f t="shared" ca="1" si="298"/>
        <v>Jillian</v>
      </c>
      <c r="Q330" s="13" t="str">
        <f t="shared" ca="1" si="299"/>
        <v>Megan</v>
      </c>
      <c r="R330" s="13" t="str">
        <f t="shared" ca="1" si="300"/>
        <v>Megan</v>
      </c>
      <c r="S330" s="13"/>
      <c r="T330" s="13"/>
      <c r="U330" s="13"/>
      <c r="V330" s="13"/>
    </row>
    <row r="331" spans="1:22" x14ac:dyDescent="0.25">
      <c r="A331" s="13"/>
      <c r="B331" s="13" t="str">
        <f t="shared" ca="1" si="284"/>
        <v>Jason</v>
      </c>
      <c r="C331" s="13" t="str">
        <f t="shared" ca="1" si="285"/>
        <v/>
      </c>
      <c r="D331" s="13" t="str">
        <f t="shared" ca="1" si="286"/>
        <v/>
      </c>
      <c r="E331" s="13" t="str">
        <f t="shared" ca="1" si="287"/>
        <v>Jessica</v>
      </c>
      <c r="F331" s="13" t="str">
        <f t="shared" ca="1" si="288"/>
        <v>Jessica</v>
      </c>
      <c r="G331" s="13" t="str">
        <f t="shared" ca="1" si="289"/>
        <v>Cody</v>
      </c>
      <c r="H331" s="13" t="str">
        <f t="shared" ca="1" si="290"/>
        <v/>
      </c>
      <c r="I331" s="13" t="str">
        <f t="shared" ca="1" si="291"/>
        <v/>
      </c>
      <c r="J331" s="13" t="str">
        <f t="shared" ca="1" si="292"/>
        <v>Christmas</v>
      </c>
      <c r="K331" s="13" t="str">
        <f t="shared" ca="1" si="293"/>
        <v>Cameron</v>
      </c>
      <c r="L331" s="13" t="str">
        <f t="shared" ca="1" si="294"/>
        <v>Mark</v>
      </c>
      <c r="M331" s="13" t="str">
        <f t="shared" ca="1" si="295"/>
        <v/>
      </c>
      <c r="N331" s="13" t="str">
        <f t="shared" ca="1" si="296"/>
        <v/>
      </c>
      <c r="O331" s="13" t="str">
        <f t="shared" ca="1" si="297"/>
        <v>Jason</v>
      </c>
      <c r="P331" s="13" t="str">
        <f t="shared" ca="1" si="298"/>
        <v>Alex</v>
      </c>
      <c r="Q331" s="13" t="str">
        <f t="shared" ca="1" si="299"/>
        <v>Raven</v>
      </c>
      <c r="R331" s="13" t="str">
        <f t="shared" ca="1" si="300"/>
        <v>Christmas</v>
      </c>
      <c r="S331" s="13"/>
      <c r="T331" s="13"/>
      <c r="U331" s="13"/>
      <c r="V331" s="13"/>
    </row>
    <row r="332" spans="1:22" x14ac:dyDescent="0.25">
      <c r="A332" s="13"/>
      <c r="B332" s="13" t="str">
        <f t="shared" ca="1" si="284"/>
        <v>Jillian</v>
      </c>
      <c r="C332" s="13" t="str">
        <f t="shared" ca="1" si="285"/>
        <v/>
      </c>
      <c r="D332" s="13" t="str">
        <f t="shared" ca="1" si="286"/>
        <v/>
      </c>
      <c r="E332" s="13" t="str">
        <f t="shared" ca="1" si="287"/>
        <v>Cody</v>
      </c>
      <c r="F332" s="13" t="str">
        <f t="shared" ca="1" si="288"/>
        <v>Mark</v>
      </c>
      <c r="G332" s="13" t="str">
        <f t="shared" ca="1" si="289"/>
        <v>Matt</v>
      </c>
      <c r="H332" s="13" t="str">
        <f t="shared" ca="1" si="290"/>
        <v/>
      </c>
      <c r="I332" s="13" t="str">
        <f t="shared" ca="1" si="291"/>
        <v/>
      </c>
      <c r="J332" s="13" t="str">
        <f t="shared" ca="1" si="292"/>
        <v>Mark</v>
      </c>
      <c r="K332" s="13" t="str">
        <f t="shared" ca="1" si="293"/>
        <v>Matt</v>
      </c>
      <c r="L332" s="13" t="str">
        <f t="shared" ca="1" si="294"/>
        <v>Cody</v>
      </c>
      <c r="M332" s="13" t="str">
        <f t="shared" ca="1" si="295"/>
        <v/>
      </c>
      <c r="N332" s="13" t="str">
        <f t="shared" ca="1" si="296"/>
        <v/>
      </c>
      <c r="O332" s="13" t="str">
        <f t="shared" ca="1" si="297"/>
        <v>Mark</v>
      </c>
      <c r="P332" s="13" t="str">
        <f t="shared" ca="1" si="298"/>
        <v>Jason</v>
      </c>
      <c r="Q332" s="13" t="str">
        <f t="shared" ca="1" si="299"/>
        <v>Jessica</v>
      </c>
      <c r="R332" s="13" t="str">
        <f t="shared" ca="1" si="300"/>
        <v>Jessica</v>
      </c>
      <c r="S332" s="13"/>
      <c r="T332" s="13"/>
      <c r="U332" s="13"/>
      <c r="V332" s="13"/>
    </row>
    <row r="333" spans="1:22" x14ac:dyDescent="0.25">
      <c r="A333" s="13"/>
      <c r="B333" s="13" t="str">
        <f t="shared" ca="1" si="284"/>
        <v>Matt</v>
      </c>
      <c r="C333" s="13" t="str">
        <f t="shared" ca="1" si="285"/>
        <v/>
      </c>
      <c r="D333" s="13" t="str">
        <f t="shared" ca="1" si="286"/>
        <v/>
      </c>
      <c r="E333" s="13" t="str">
        <f t="shared" ca="1" si="287"/>
        <v>Raven</v>
      </c>
      <c r="F333" s="13" t="str">
        <f t="shared" ca="1" si="288"/>
        <v>Jillian</v>
      </c>
      <c r="G333" s="13" t="str">
        <f t="shared" ca="1" si="289"/>
        <v>Cameron</v>
      </c>
      <c r="H333" s="13" t="str">
        <f t="shared" ca="1" si="290"/>
        <v/>
      </c>
      <c r="I333" s="13" t="str">
        <f t="shared" ca="1" si="291"/>
        <v/>
      </c>
      <c r="J333" s="13" t="str">
        <f t="shared" ca="1" si="292"/>
        <v>Raven</v>
      </c>
      <c r="K333" s="13" t="str">
        <f t="shared" ca="1" si="293"/>
        <v>Alex</v>
      </c>
      <c r="L333" s="13" t="str">
        <f t="shared" ca="1" si="294"/>
        <v>Raven</v>
      </c>
      <c r="M333" s="13" t="str">
        <f t="shared" ca="1" si="295"/>
        <v/>
      </c>
      <c r="N333" s="13" t="str">
        <f t="shared" ca="1" si="296"/>
        <v/>
      </c>
      <c r="O333" s="13" t="str">
        <f t="shared" ca="1" si="297"/>
        <v>Alex</v>
      </c>
      <c r="P333" s="13" t="str">
        <f t="shared" ca="1" si="298"/>
        <v>Cameron</v>
      </c>
      <c r="Q333" s="13" t="str">
        <f t="shared" ca="1" si="299"/>
        <v>Christmas</v>
      </c>
      <c r="R333" s="13" t="str">
        <f t="shared" ca="1" si="300"/>
        <v>Raven</v>
      </c>
      <c r="S333" s="13"/>
      <c r="T333" s="13"/>
      <c r="U333" s="13"/>
      <c r="V333" s="13"/>
    </row>
    <row r="334" spans="1:22" x14ac:dyDescent="0.25">
      <c r="A334" s="13"/>
      <c r="B334" s="13" t="str">
        <f t="shared" ca="1" si="284"/>
        <v>Mark</v>
      </c>
      <c r="C334" s="13" t="str">
        <f t="shared" ca="1" si="285"/>
        <v/>
      </c>
      <c r="D334" s="13" t="str">
        <f t="shared" ca="1" si="286"/>
        <v/>
      </c>
      <c r="E334" s="13" t="str">
        <f t="shared" ca="1" si="287"/>
        <v>Mark</v>
      </c>
      <c r="F334" s="13" t="str">
        <f t="shared" ca="1" si="288"/>
        <v>Raven</v>
      </c>
      <c r="G334" s="13" t="str">
        <f t="shared" ca="1" si="289"/>
        <v>Raven</v>
      </c>
      <c r="H334" s="13" t="str">
        <f t="shared" ca="1" si="290"/>
        <v/>
      </c>
      <c r="I334" s="13" t="str">
        <f t="shared" ca="1" si="291"/>
        <v/>
      </c>
      <c r="J334" s="13" t="str">
        <f t="shared" ca="1" si="292"/>
        <v>Jessica</v>
      </c>
      <c r="K334" s="13" t="str">
        <f t="shared" ca="1" si="293"/>
        <v>Megan</v>
      </c>
      <c r="L334" s="13" t="str">
        <f t="shared" ca="1" si="294"/>
        <v>Christmas</v>
      </c>
      <c r="M334" s="13" t="str">
        <f t="shared" ca="1" si="295"/>
        <v/>
      </c>
      <c r="N334" s="13" t="str">
        <f t="shared" ca="1" si="296"/>
        <v/>
      </c>
      <c r="O334" s="13" t="str">
        <f t="shared" ca="1" si="297"/>
        <v>Megan</v>
      </c>
      <c r="P334" s="13" t="str">
        <f t="shared" ca="1" si="298"/>
        <v>Megan</v>
      </c>
      <c r="Q334" s="13" t="str">
        <f t="shared" ca="1" si="299"/>
        <v>Mark</v>
      </c>
      <c r="R334" s="13" t="str">
        <f t="shared" ca="1" si="300"/>
        <v>Cody</v>
      </c>
      <c r="S334" s="13"/>
      <c r="T334" s="13"/>
      <c r="U334" s="13"/>
      <c r="V334" s="13"/>
    </row>
    <row r="335" spans="1:22" x14ac:dyDescent="0.25">
      <c r="A335" s="13"/>
      <c r="B335" s="13" t="str">
        <f t="shared" ca="1" si="284"/>
        <v>Megan</v>
      </c>
      <c r="C335" s="13" t="str">
        <f t="shared" ca="1" si="285"/>
        <v/>
      </c>
      <c r="D335" s="13" t="str">
        <f t="shared" ca="1" si="286"/>
        <v/>
      </c>
      <c r="E335" s="13" t="str">
        <f t="shared" ca="1" si="287"/>
        <v>Christmas</v>
      </c>
      <c r="F335" s="13" t="str">
        <f t="shared" ca="1" si="288"/>
        <v>Alex</v>
      </c>
      <c r="G335" s="13" t="str">
        <f t="shared" ca="1" si="289"/>
        <v>Megan</v>
      </c>
      <c r="H335" s="13" t="str">
        <f t="shared" ca="1" si="290"/>
        <v/>
      </c>
      <c r="I335" s="13" t="str">
        <f t="shared" ca="1" si="291"/>
        <v/>
      </c>
      <c r="J335" s="13" t="str">
        <f t="shared" ca="1" si="292"/>
        <v>Matt</v>
      </c>
      <c r="K335" s="13" t="str">
        <f t="shared" ca="1" si="293"/>
        <v>Jillian</v>
      </c>
      <c r="L335" s="13" t="str">
        <f t="shared" ca="1" si="294"/>
        <v>Cameron</v>
      </c>
      <c r="M335" s="13" t="str">
        <f t="shared" ca="1" si="295"/>
        <v/>
      </c>
      <c r="N335" s="13" t="str">
        <f t="shared" ca="1" si="296"/>
        <v/>
      </c>
      <c r="O335" s="13" t="str">
        <f t="shared" ca="1" si="297"/>
        <v>Christmas</v>
      </c>
      <c r="P335" s="13" t="str">
        <f t="shared" ca="1" si="298"/>
        <v>Cody</v>
      </c>
      <c r="Q335" s="13" t="str">
        <f t="shared" ca="1" si="299"/>
        <v>Jason</v>
      </c>
      <c r="R335" s="13" t="str">
        <f t="shared" ca="1" si="300"/>
        <v>Matt</v>
      </c>
      <c r="S335" s="13"/>
      <c r="T335" s="13"/>
      <c r="U335" s="13"/>
      <c r="V335" s="13"/>
    </row>
    <row r="336" spans="1:2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x14ac:dyDescent="0.25">
      <c r="B337" s="47" t="str">
        <f t="shared" ref="B337:R337" ca="1" si="301">IF(B325="","",B325)</f>
        <v>Raven</v>
      </c>
      <c r="C337" s="47" t="str">
        <f t="shared" ca="1" si="301"/>
        <v/>
      </c>
      <c r="D337" s="47" t="str">
        <f t="shared" ca="1" si="301"/>
        <v/>
      </c>
      <c r="E337" s="47" t="str">
        <f t="shared" ca="1" si="301"/>
        <v>Megan</v>
      </c>
      <c r="F337" s="47" t="str">
        <f t="shared" ca="1" si="301"/>
        <v>Matt</v>
      </c>
      <c r="G337" s="47" t="str">
        <f t="shared" ca="1" si="301"/>
        <v>Mark</v>
      </c>
      <c r="H337" s="47" t="str">
        <f t="shared" ca="1" si="301"/>
        <v/>
      </c>
      <c r="I337" s="47" t="str">
        <f t="shared" ca="1" si="301"/>
        <v/>
      </c>
      <c r="J337" s="47" t="str">
        <f t="shared" ca="1" si="301"/>
        <v>Jillian</v>
      </c>
      <c r="K337" s="47" t="str">
        <f t="shared" ca="1" si="301"/>
        <v>Jessica</v>
      </c>
      <c r="L337" s="47" t="str">
        <f t="shared" ca="1" si="301"/>
        <v>Jason</v>
      </c>
      <c r="M337" s="47" t="str">
        <f t="shared" ca="1" si="301"/>
        <v/>
      </c>
      <c r="N337" s="47" t="str">
        <f t="shared" ca="1" si="301"/>
        <v/>
      </c>
      <c r="O337" s="47" t="str">
        <f t="shared" ca="1" si="301"/>
        <v>Cody</v>
      </c>
      <c r="P337" s="47" t="str">
        <f t="shared" ca="1" si="301"/>
        <v>Christmas</v>
      </c>
      <c r="Q337" s="47" t="str">
        <f t="shared" ca="1" si="301"/>
        <v>Cameron</v>
      </c>
      <c r="R337" s="47" t="str">
        <f t="shared" ca="1" si="301"/>
        <v>Alex</v>
      </c>
      <c r="S337" s="13"/>
      <c r="T337" s="13"/>
      <c r="U337" s="13"/>
      <c r="V337" s="13"/>
    </row>
    <row r="338" spans="1:22" x14ac:dyDescent="0.25">
      <c r="A338" s="13" t="str">
        <f ca="1">Game!H1050</f>
        <v>Raven</v>
      </c>
      <c r="B338" s="13">
        <f ca="1">IF(B337="","",INDEX(B$2:B$18,MATCH($A338,$A$2:$A$18,0)))</f>
        <v>101</v>
      </c>
      <c r="C338" s="13" t="str">
        <f t="shared" ref="C338" ca="1" si="302">IF(C337="","",INDEX(C$2:C$18,MATCH($A338,$A$2:$A$18,0)))</f>
        <v/>
      </c>
      <c r="D338" s="13" t="str">
        <f ca="1">IF(D337="","",INDEX(D$2:D$18,MATCH($A338,$A$2:$A$18,0)))</f>
        <v/>
      </c>
      <c r="E338" s="13">
        <f t="shared" ref="E338:Q338" ca="1" si="303">IF(E337="","",INDEX(E$2:E$18,MATCH($A338,$A$2:$A$18,0)))</f>
        <v>10.140565248618941</v>
      </c>
      <c r="F338" s="13">
        <f t="shared" ca="1" si="303"/>
        <v>16.041606218120869</v>
      </c>
      <c r="G338" s="13">
        <f t="shared" ca="1" si="303"/>
        <v>14.404075662040396</v>
      </c>
      <c r="H338" s="13" t="str">
        <f t="shared" ca="1" si="303"/>
        <v/>
      </c>
      <c r="I338" s="13" t="str">
        <f t="shared" ca="1" si="303"/>
        <v/>
      </c>
      <c r="J338" s="13">
        <f t="shared" ca="1" si="303"/>
        <v>25.012998050500968</v>
      </c>
      <c r="K338" s="13">
        <f t="shared" ca="1" si="303"/>
        <v>82.335943293871836</v>
      </c>
      <c r="L338" s="13">
        <f t="shared" ca="1" si="303"/>
        <v>26.449699295094824</v>
      </c>
      <c r="M338" s="13" t="str">
        <f t="shared" ca="1" si="303"/>
        <v/>
      </c>
      <c r="N338" s="13" t="str">
        <f t="shared" ca="1" si="303"/>
        <v/>
      </c>
      <c r="O338" s="13">
        <f t="shared" ca="1" si="303"/>
        <v>73.03778757742748</v>
      </c>
      <c r="P338" s="13">
        <f t="shared" ca="1" si="303"/>
        <v>49.206725336114673</v>
      </c>
      <c r="Q338" s="13">
        <f t="shared" ca="1" si="303"/>
        <v>47.409368445659858</v>
      </c>
      <c r="R338" s="13">
        <f ca="1">IF(R337="","",INDEX(R$2:R$18,MATCH($A338,$A$2:$A$18,0)))</f>
        <v>27.072683409527087</v>
      </c>
      <c r="S338" s="13"/>
      <c r="T338" s="13"/>
      <c r="U338" s="13"/>
      <c r="V338" s="13"/>
    </row>
    <row r="339" spans="1:2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x14ac:dyDescent="0.25">
      <c r="A340" t="s">
        <v>113</v>
      </c>
      <c r="B340" t="str">
        <f ca="1">Game!F1093</f>
        <v>Jillian</v>
      </c>
      <c r="C340" t="str">
        <f ca="1">Game!G1093</f>
        <v>Megan</v>
      </c>
      <c r="D340" t="str">
        <f ca="1">Game!G1095</f>
        <v>Mark</v>
      </c>
      <c r="E340" s="13"/>
      <c r="F340" s="13"/>
      <c r="G340" s="13"/>
      <c r="H340" s="13"/>
      <c r="I340" s="13"/>
      <c r="J340" s="13"/>
      <c r="K340" s="13"/>
      <c r="L340" s="13"/>
      <c r="M340" s="13"/>
      <c r="N340" s="13"/>
      <c r="O340" s="13"/>
      <c r="P340" s="13"/>
      <c r="Q340" s="13"/>
      <c r="R340" s="13"/>
      <c r="S340" s="13"/>
      <c r="T340" s="13"/>
      <c r="U340" s="13"/>
      <c r="V340" s="13"/>
    </row>
    <row r="341" spans="1:22" x14ac:dyDescent="0.25">
      <c r="A341">
        <f>A307</f>
        <v>65</v>
      </c>
      <c r="B341" t="str">
        <f ca="1">IF(COUNTIF($B340:$D340,B$1)=0,"",B$1)</f>
        <v/>
      </c>
      <c r="C341" t="str">
        <f t="shared" ref="C341:R341" ca="1" si="304">IF(COUNTIF($B340:$D340,C$1)=0,"",C$1)</f>
        <v/>
      </c>
      <c r="D341" t="str">
        <f t="shared" ca="1" si="304"/>
        <v/>
      </c>
      <c r="E341" t="str">
        <f t="shared" ca="1" si="304"/>
        <v>Megan</v>
      </c>
      <c r="F341" t="str">
        <f t="shared" ca="1" si="304"/>
        <v/>
      </c>
      <c r="G341" t="str">
        <f t="shared" ca="1" si="304"/>
        <v>Mark</v>
      </c>
      <c r="H341" t="str">
        <f t="shared" ca="1" si="304"/>
        <v/>
      </c>
      <c r="I341" t="str">
        <f t="shared" ca="1" si="304"/>
        <v/>
      </c>
      <c r="J341" t="str">
        <f t="shared" ca="1" si="304"/>
        <v>Jillian</v>
      </c>
      <c r="K341" t="str">
        <f t="shared" ca="1" si="304"/>
        <v/>
      </c>
      <c r="L341" t="str">
        <f t="shared" ca="1" si="304"/>
        <v/>
      </c>
      <c r="M341" t="str">
        <f t="shared" ca="1" si="304"/>
        <v/>
      </c>
      <c r="N341" t="str">
        <f t="shared" ca="1" si="304"/>
        <v/>
      </c>
      <c r="O341" t="str">
        <f t="shared" ca="1" si="304"/>
        <v/>
      </c>
      <c r="P341" t="str">
        <f t="shared" ca="1" si="304"/>
        <v/>
      </c>
      <c r="Q341" t="str">
        <f t="shared" ca="1" si="304"/>
        <v/>
      </c>
      <c r="R341" t="str">
        <f t="shared" ca="1" si="304"/>
        <v/>
      </c>
      <c r="S341" s="13"/>
      <c r="T341" s="13"/>
      <c r="U341" s="13"/>
      <c r="V341" s="13"/>
    </row>
    <row r="342" spans="1:22" x14ac:dyDescent="0.25">
      <c r="A342" t="str">
        <f ca="1">Game!E1131</f>
        <v>Megan</v>
      </c>
      <c r="B342" t="str">
        <f t="shared" ref="B342:R342" ca="1" si="305">IF(B341="","",INDEX(B$2:B$18,MATCH($A$342,$A$2:$A$18,0)))</f>
        <v/>
      </c>
      <c r="C342" t="str">
        <f t="shared" ca="1" si="305"/>
        <v/>
      </c>
      <c r="D342" t="str">
        <f t="shared" ca="1" si="305"/>
        <v/>
      </c>
      <c r="E342">
        <f t="shared" ca="1" si="305"/>
        <v>101</v>
      </c>
      <c r="F342" t="str">
        <f t="shared" ca="1" si="305"/>
        <v/>
      </c>
      <c r="G342">
        <f t="shared" ca="1" si="305"/>
        <v>7.442508972552484</v>
      </c>
      <c r="H342" t="str">
        <f t="shared" ca="1" si="305"/>
        <v/>
      </c>
      <c r="I342" t="str">
        <f t="shared" ca="1" si="305"/>
        <v/>
      </c>
      <c r="J342">
        <f t="shared" ca="1" si="305"/>
        <v>67.02518921112113</v>
      </c>
      <c r="K342" t="str">
        <f t="shared" ca="1" si="305"/>
        <v/>
      </c>
      <c r="L342" t="str">
        <f t="shared" ca="1" si="305"/>
        <v/>
      </c>
      <c r="M342" t="str">
        <f t="shared" ca="1" si="305"/>
        <v/>
      </c>
      <c r="N342" t="str">
        <f t="shared" ca="1" si="305"/>
        <v/>
      </c>
      <c r="O342" t="str">
        <f t="shared" ca="1" si="305"/>
        <v/>
      </c>
      <c r="P342" t="str">
        <f t="shared" ca="1" si="305"/>
        <v/>
      </c>
      <c r="Q342" t="str">
        <f t="shared" ca="1" si="305"/>
        <v/>
      </c>
      <c r="R342" t="str">
        <f t="shared" ca="1" si="305"/>
        <v/>
      </c>
      <c r="S342" s="13"/>
      <c r="T342" s="13"/>
      <c r="U342" s="13"/>
      <c r="V342" s="13"/>
    </row>
    <row r="343" spans="1:22" x14ac:dyDescent="0.25">
      <c r="A343">
        <f ca="1">LARGE(B342:R342,1)</f>
        <v>101</v>
      </c>
      <c r="E343" s="13"/>
      <c r="F343" s="13"/>
      <c r="G343" s="13"/>
      <c r="H343" s="13"/>
      <c r="I343" s="13"/>
      <c r="J343" s="13"/>
      <c r="K343" s="13"/>
      <c r="L343" s="13"/>
      <c r="M343" s="13"/>
      <c r="N343" s="13"/>
      <c r="O343" s="13"/>
      <c r="P343" s="13"/>
      <c r="Q343" s="13"/>
      <c r="R343" s="13"/>
      <c r="S343" s="13"/>
      <c r="T343" s="13"/>
      <c r="U343" s="13"/>
      <c r="V343" s="13"/>
    </row>
    <row r="344" spans="1:22" x14ac:dyDescent="0.25">
      <c r="A344" t="str">
        <f ca="1">IF(A343&lt;=A341-1,IF(D340="","Neither Nominee","Nobody"),INDEX(B341:R341,MATCH(A343,B342:R342,0)))</f>
        <v>Megan</v>
      </c>
      <c r="E344" s="13"/>
      <c r="F344" s="13"/>
      <c r="G344" s="13"/>
      <c r="H344" s="13"/>
      <c r="I344" s="13"/>
      <c r="J344" s="13"/>
      <c r="K344" s="13"/>
      <c r="L344" s="13"/>
      <c r="M344" s="13"/>
      <c r="N344" s="13"/>
      <c r="O344" s="13"/>
      <c r="P344" s="13"/>
      <c r="Q344" s="13"/>
      <c r="R344" s="13"/>
      <c r="S344" s="13"/>
      <c r="T344" s="13"/>
      <c r="U344" s="13"/>
      <c r="V344" s="13"/>
    </row>
    <row r="345" spans="1:2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x14ac:dyDescent="0.25">
      <c r="A346" s="13"/>
      <c r="B346" s="13" t="str">
        <f t="shared" ref="B346:R346" ca="1" si="306">B325</f>
        <v>Raven</v>
      </c>
      <c r="C346" s="13" t="str">
        <f t="shared" ca="1" si="306"/>
        <v/>
      </c>
      <c r="D346" s="13" t="str">
        <f t="shared" ca="1" si="306"/>
        <v/>
      </c>
      <c r="E346" s="13" t="str">
        <f t="shared" ca="1" si="306"/>
        <v>Megan</v>
      </c>
      <c r="F346" s="13" t="str">
        <f t="shared" ca="1" si="306"/>
        <v>Matt</v>
      </c>
      <c r="G346" s="13" t="str">
        <f t="shared" ca="1" si="306"/>
        <v>Mark</v>
      </c>
      <c r="H346" s="13" t="str">
        <f t="shared" ca="1" si="306"/>
        <v/>
      </c>
      <c r="I346" s="13" t="str">
        <f t="shared" ca="1" si="306"/>
        <v/>
      </c>
      <c r="J346" s="13" t="str">
        <f t="shared" ca="1" si="306"/>
        <v>Jillian</v>
      </c>
      <c r="K346" s="13" t="str">
        <f t="shared" ca="1" si="306"/>
        <v>Jessica</v>
      </c>
      <c r="L346" s="13" t="str">
        <f t="shared" ca="1" si="306"/>
        <v>Jason</v>
      </c>
      <c r="M346" s="13" t="str">
        <f t="shared" ca="1" si="306"/>
        <v/>
      </c>
      <c r="N346" s="13" t="str">
        <f t="shared" ca="1" si="306"/>
        <v/>
      </c>
      <c r="O346" s="13" t="str">
        <f t="shared" ca="1" si="306"/>
        <v>Cody</v>
      </c>
      <c r="P346" s="13" t="str">
        <f t="shared" ca="1" si="306"/>
        <v>Christmas</v>
      </c>
      <c r="Q346" s="13" t="str">
        <f t="shared" ca="1" si="306"/>
        <v>Cameron</v>
      </c>
      <c r="R346" s="13" t="str">
        <f t="shared" ca="1" si="306"/>
        <v>Alex</v>
      </c>
      <c r="S346" s="13"/>
      <c r="T346" s="13"/>
      <c r="U346" s="13"/>
      <c r="V346" s="13"/>
    </row>
    <row r="347" spans="1:22" x14ac:dyDescent="0.25">
      <c r="A347" s="13" t="str">
        <f ca="1">Game!G1127</f>
        <v>Jason</v>
      </c>
      <c r="B347">
        <f t="shared" ref="B347" ca="1" si="307">IF(B346="","",INDEX(B$2:B$18,MATCH($A347,$A$2:$A$18,0)))</f>
        <v>26.449699295094824</v>
      </c>
      <c r="C347" t="str">
        <f ca="1">IF(C346="","",INDEX(C$2:C$18,MATCH($A347,$A$2:$A$18,0)))</f>
        <v/>
      </c>
      <c r="D347" t="str">
        <f t="shared" ref="D347:R347" ca="1" si="308">IF(D346="","",INDEX(D$2:D$18,MATCH($A347,$A$2:$A$18,0)))</f>
        <v/>
      </c>
      <c r="E347">
        <f t="shared" ca="1" si="308"/>
        <v>79.425080473582895</v>
      </c>
      <c r="F347">
        <f t="shared" ca="1" si="308"/>
        <v>84.449421673651997</v>
      </c>
      <c r="G347">
        <f t="shared" ca="1" si="308"/>
        <v>45.249910546888039</v>
      </c>
      <c r="H347" t="str">
        <f t="shared" ca="1" si="308"/>
        <v/>
      </c>
      <c r="I347" t="str">
        <f t="shared" ca="1" si="308"/>
        <v/>
      </c>
      <c r="J347">
        <f t="shared" ca="1" si="308"/>
        <v>70.268170824342889</v>
      </c>
      <c r="K347">
        <f t="shared" ca="1" si="308"/>
        <v>51.265613737767033</v>
      </c>
      <c r="L347">
        <f t="shared" ca="1" si="308"/>
        <v>101</v>
      </c>
      <c r="M347" t="str">
        <f t="shared" ca="1" si="308"/>
        <v/>
      </c>
      <c r="N347" t="str">
        <f t="shared" ca="1" si="308"/>
        <v/>
      </c>
      <c r="O347">
        <f t="shared" ca="1" si="308"/>
        <v>41.238479804029616</v>
      </c>
      <c r="P347">
        <f t="shared" ca="1" si="308"/>
        <v>22.004949710265894</v>
      </c>
      <c r="Q347">
        <f t="shared" ca="1" si="308"/>
        <v>15.394165717913744</v>
      </c>
      <c r="R347">
        <f t="shared" ca="1" si="308"/>
        <v>62.423641384313534</v>
      </c>
      <c r="S347" s="13"/>
      <c r="T347" s="13"/>
      <c r="U347" s="13"/>
      <c r="V347" s="13"/>
    </row>
    <row r="348" spans="1:22" x14ac:dyDescent="0.25">
      <c r="A348" s="13" t="str">
        <f ca="1">Game!G1128</f>
        <v>Mark</v>
      </c>
      <c r="B348">
        <f t="shared" ref="B348:R348" ca="1" si="309">IF(B347="","",INDEX(B$2:B$18,MATCH($A348,$A$2:$A$18,0)))</f>
        <v>14.404075662040396</v>
      </c>
      <c r="C348" t="str">
        <f t="shared" ca="1" si="309"/>
        <v/>
      </c>
      <c r="D348" t="str">
        <f t="shared" ca="1" si="309"/>
        <v/>
      </c>
      <c r="E348">
        <f t="shared" ca="1" si="309"/>
        <v>7.442508972552484</v>
      </c>
      <c r="F348">
        <f t="shared" ca="1" si="309"/>
        <v>24.202774351677192</v>
      </c>
      <c r="G348">
        <f t="shared" ca="1" si="309"/>
        <v>101</v>
      </c>
      <c r="H348" t="str">
        <f t="shared" ca="1" si="309"/>
        <v/>
      </c>
      <c r="I348" t="str">
        <f t="shared" ca="1" si="309"/>
        <v/>
      </c>
      <c r="J348">
        <f t="shared" ca="1" si="309"/>
        <v>43.053985180386718</v>
      </c>
      <c r="K348">
        <f t="shared" ca="1" si="309"/>
        <v>59.282946937072587</v>
      </c>
      <c r="L348">
        <f t="shared" ca="1" si="309"/>
        <v>45.249910546888039</v>
      </c>
      <c r="M348" t="str">
        <f t="shared" ca="1" si="309"/>
        <v/>
      </c>
      <c r="N348" t="str">
        <f t="shared" ca="1" si="309"/>
        <v/>
      </c>
      <c r="O348">
        <f t="shared" ca="1" si="309"/>
        <v>24.230698123089187</v>
      </c>
      <c r="P348">
        <f t="shared" ca="1" si="309"/>
        <v>72.406235089083978</v>
      </c>
      <c r="Q348">
        <f t="shared" ca="1" si="309"/>
        <v>17.366447548995119</v>
      </c>
      <c r="R348">
        <f t="shared" ca="1" si="309"/>
        <v>76.31237136960803</v>
      </c>
      <c r="S348" s="13"/>
      <c r="T348" s="13"/>
      <c r="U348" s="13"/>
      <c r="V348" s="13"/>
    </row>
    <row r="349" spans="1:22" x14ac:dyDescent="0.25">
      <c r="A349" s="13" t="str">
        <f ca="1">Game!G1129</f>
        <v>Jillian</v>
      </c>
      <c r="B349">
        <f ca="1">IF(A349="","",IF(B348="","",INDEX(B$2:B$18,MATCH($A349,$A$2:$A$18,0))))</f>
        <v>25.012998050500968</v>
      </c>
      <c r="C349" t="str">
        <f t="shared" ref="C349:R349" ca="1" si="310">IF($A349="","",IF(C348="","",INDEX(C$2:C$18,MATCH($A349,$A$2:$A$18,0))))</f>
        <v/>
      </c>
      <c r="D349" t="str">
        <f t="shared" ca="1" si="310"/>
        <v/>
      </c>
      <c r="E349">
        <f t="shared" ca="1" si="310"/>
        <v>67.02518921112113</v>
      </c>
      <c r="F349">
        <f t="shared" ca="1" si="310"/>
        <v>19.01643681995855</v>
      </c>
      <c r="G349">
        <f t="shared" ca="1" si="310"/>
        <v>43.053985180386718</v>
      </c>
      <c r="H349" t="str">
        <f t="shared" ca="1" si="310"/>
        <v/>
      </c>
      <c r="I349" t="str">
        <f t="shared" ca="1" si="310"/>
        <v/>
      </c>
      <c r="J349">
        <f t="shared" ca="1" si="310"/>
        <v>101</v>
      </c>
      <c r="K349">
        <f t="shared" ca="1" si="310"/>
        <v>24.448109969971082</v>
      </c>
      <c r="L349">
        <f t="shared" ca="1" si="310"/>
        <v>70.268170824342889</v>
      </c>
      <c r="M349" t="str">
        <f t="shared" ca="1" si="310"/>
        <v/>
      </c>
      <c r="N349" t="str">
        <f t="shared" ca="1" si="310"/>
        <v/>
      </c>
      <c r="O349">
        <f t="shared" ca="1" si="310"/>
        <v>52.275980603054812</v>
      </c>
      <c r="P349">
        <f t="shared" ca="1" si="310"/>
        <v>45.133515745606985</v>
      </c>
      <c r="Q349">
        <f t="shared" ca="1" si="310"/>
        <v>65.383887637253792</v>
      </c>
      <c r="R349">
        <f t="shared" ca="1" si="310"/>
        <v>59.289460277888111</v>
      </c>
      <c r="S349" s="13"/>
      <c r="T349" s="13"/>
      <c r="U349" s="13"/>
      <c r="V349" s="13"/>
    </row>
    <row r="350" spans="1:22" x14ac:dyDescent="0.25">
      <c r="A350" s="13"/>
      <c r="B350" t="str">
        <f ca="1">IF(B346="","",INDEX(A347:A349,MATCH(SMALL(B347:B349,1),B347:B349,0)))</f>
        <v>Mark</v>
      </c>
      <c r="C350" t="str">
        <f t="shared" ref="C350:R350" ca="1" si="311">IF(C346="","",INDEX($A347:$A349,MATCH(SMALL(C347:C349,1),C347:C349,0)))</f>
        <v/>
      </c>
      <c r="D350" t="str">
        <f t="shared" ca="1" si="311"/>
        <v/>
      </c>
      <c r="E350" t="str">
        <f t="shared" ca="1" si="311"/>
        <v>Mark</v>
      </c>
      <c r="F350" t="str">
        <f t="shared" ca="1" si="311"/>
        <v>Jillian</v>
      </c>
      <c r="G350" t="str">
        <f t="shared" ca="1" si="311"/>
        <v>Jillian</v>
      </c>
      <c r="H350" t="str">
        <f t="shared" ca="1" si="311"/>
        <v/>
      </c>
      <c r="I350" t="str">
        <f t="shared" ca="1" si="311"/>
        <v/>
      </c>
      <c r="J350" t="str">
        <f t="shared" ca="1" si="311"/>
        <v>Mark</v>
      </c>
      <c r="K350" t="str">
        <f t="shared" ca="1" si="311"/>
        <v>Jillian</v>
      </c>
      <c r="L350" t="str">
        <f t="shared" ca="1" si="311"/>
        <v>Mark</v>
      </c>
      <c r="M350" t="str">
        <f t="shared" ca="1" si="311"/>
        <v/>
      </c>
      <c r="N350" t="str">
        <f t="shared" ca="1" si="311"/>
        <v/>
      </c>
      <c r="O350" t="str">
        <f t="shared" ca="1" si="311"/>
        <v>Mark</v>
      </c>
      <c r="P350" t="str">
        <f t="shared" ca="1" si="311"/>
        <v>Jason</v>
      </c>
      <c r="Q350" t="str">
        <f t="shared" ca="1" si="311"/>
        <v>Jason</v>
      </c>
      <c r="R350" t="str">
        <f t="shared" ca="1" si="311"/>
        <v>Jillian</v>
      </c>
      <c r="S350" s="13"/>
      <c r="T350" s="13"/>
      <c r="U350" s="13"/>
      <c r="V350" s="13"/>
    </row>
    <row r="351" spans="1:2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x14ac:dyDescent="0.25">
      <c r="A352" t="str">
        <f ca="1">Game!G1152</f>
        <v>Jillian</v>
      </c>
      <c r="B352" s="13" t="str">
        <f t="shared" ref="B352:R352" ca="1" si="312">IF(B325=$A352,"",B325)</f>
        <v>Raven</v>
      </c>
      <c r="C352" s="13" t="str">
        <f t="shared" ca="1" si="312"/>
        <v/>
      </c>
      <c r="D352" s="13" t="str">
        <f t="shared" ca="1" si="312"/>
        <v/>
      </c>
      <c r="E352" s="13" t="str">
        <f t="shared" ca="1" si="312"/>
        <v>Megan</v>
      </c>
      <c r="F352" s="13" t="str">
        <f t="shared" ca="1" si="312"/>
        <v>Matt</v>
      </c>
      <c r="G352" s="13" t="str">
        <f t="shared" ca="1" si="312"/>
        <v>Mark</v>
      </c>
      <c r="H352" s="13" t="str">
        <f t="shared" ca="1" si="312"/>
        <v/>
      </c>
      <c r="I352" s="13" t="str">
        <f t="shared" ca="1" si="312"/>
        <v/>
      </c>
      <c r="J352" s="13" t="str">
        <f t="shared" ca="1" si="312"/>
        <v/>
      </c>
      <c r="K352" s="13" t="str">
        <f t="shared" ca="1" si="312"/>
        <v>Jessica</v>
      </c>
      <c r="L352" s="13" t="str">
        <f t="shared" ca="1" si="312"/>
        <v>Jason</v>
      </c>
      <c r="M352" s="13" t="str">
        <f t="shared" ca="1" si="312"/>
        <v/>
      </c>
      <c r="N352" s="13" t="str">
        <f t="shared" ca="1" si="312"/>
        <v/>
      </c>
      <c r="O352" s="13" t="str">
        <f t="shared" ca="1" si="312"/>
        <v>Cody</v>
      </c>
      <c r="P352" s="13" t="str">
        <f t="shared" ca="1" si="312"/>
        <v>Christmas</v>
      </c>
      <c r="Q352" s="13" t="str">
        <f t="shared" ca="1" si="312"/>
        <v>Cameron</v>
      </c>
      <c r="R352" s="13" t="str">
        <f t="shared" ca="1" si="312"/>
        <v>Alex</v>
      </c>
    </row>
    <row r="353" spans="1:18" x14ac:dyDescent="0.25">
      <c r="B353" s="13" t="str">
        <f t="shared" ref="B353:R353" ca="1" si="313">IF(B352="","",IF(B326=$A$352,B327,B326))</f>
        <v>Jessica</v>
      </c>
      <c r="C353" s="13" t="str">
        <f t="shared" ca="1" si="313"/>
        <v/>
      </c>
      <c r="D353" s="13" t="str">
        <f t="shared" ca="1" si="313"/>
        <v/>
      </c>
      <c r="E353" s="13" t="str">
        <f t="shared" ca="1" si="313"/>
        <v>Jason</v>
      </c>
      <c r="F353" s="13" t="str">
        <f t="shared" ca="1" si="313"/>
        <v>Christmas</v>
      </c>
      <c r="G353" s="13" t="str">
        <f t="shared" ca="1" si="313"/>
        <v>Alex</v>
      </c>
      <c r="H353" s="13" t="str">
        <f t="shared" ca="1" si="313"/>
        <v/>
      </c>
      <c r="I353" s="13" t="str">
        <f t="shared" ca="1" si="313"/>
        <v/>
      </c>
      <c r="J353" s="13" t="str">
        <f t="shared" ca="1" si="313"/>
        <v/>
      </c>
      <c r="K353" s="13" t="str">
        <f t="shared" ca="1" si="313"/>
        <v>Raven</v>
      </c>
      <c r="L353" s="13" t="str">
        <f t="shared" ca="1" si="313"/>
        <v>Matt</v>
      </c>
      <c r="M353" s="13" t="str">
        <f t="shared" ca="1" si="313"/>
        <v/>
      </c>
      <c r="N353" s="13" t="str">
        <f t="shared" ca="1" si="313"/>
        <v/>
      </c>
      <c r="O353" s="13" t="str">
        <f t="shared" ca="1" si="313"/>
        <v>Matt</v>
      </c>
      <c r="P353" s="13" t="str">
        <f t="shared" ca="1" si="313"/>
        <v>Matt</v>
      </c>
      <c r="Q353" s="13" t="str">
        <f t="shared" ca="1" si="313"/>
        <v>Alex</v>
      </c>
      <c r="R353" s="13" t="str">
        <f t="shared" ca="1" si="313"/>
        <v>Mark</v>
      </c>
    </row>
    <row r="354" spans="1:18" x14ac:dyDescent="0.25">
      <c r="B354" s="13" t="str">
        <f t="shared" ref="B354:K361" ca="1" si="314">IF(B$353="","",IF(B353=B327,B328,IF(B327=$A$352,B328,B327)))</f>
        <v>Cody</v>
      </c>
      <c r="C354" s="13" t="str">
        <f t="shared" ca="1" si="314"/>
        <v/>
      </c>
      <c r="D354" s="13" t="str">
        <f t="shared" ca="1" si="314"/>
        <v/>
      </c>
      <c r="E354" s="13" t="str">
        <f t="shared" ca="1" si="314"/>
        <v>Matt</v>
      </c>
      <c r="F354" s="13" t="str">
        <f t="shared" ca="1" si="314"/>
        <v>Jason</v>
      </c>
      <c r="G354" s="13" t="str">
        <f t="shared" ca="1" si="314"/>
        <v>Christmas</v>
      </c>
      <c r="H354" s="13" t="str">
        <f t="shared" ca="1" si="314"/>
        <v/>
      </c>
      <c r="I354" s="13" t="str">
        <f t="shared" ca="1" si="314"/>
        <v/>
      </c>
      <c r="J354" s="13" t="str">
        <f t="shared" ca="1" si="314"/>
        <v/>
      </c>
      <c r="K354" s="13" t="str">
        <f t="shared" ca="1" si="314"/>
        <v>Christmas</v>
      </c>
      <c r="L354" s="13" t="str">
        <f t="shared" ref="L354:R361" ca="1" si="315">IF(L$353="","",IF(L353=L327,L328,IF(L327=$A$352,L328,L327)))</f>
        <v>Megan</v>
      </c>
      <c r="M354" s="13" t="str">
        <f t="shared" ca="1" si="315"/>
        <v/>
      </c>
      <c r="N354" s="13" t="str">
        <f t="shared" ca="1" si="315"/>
        <v/>
      </c>
      <c r="O354" s="13" t="str">
        <f t="shared" ca="1" si="315"/>
        <v>Raven</v>
      </c>
      <c r="P354" s="13" t="str">
        <f t="shared" ca="1" si="315"/>
        <v>Mark</v>
      </c>
      <c r="Q354" s="13" t="str">
        <f t="shared" ca="1" si="315"/>
        <v>Cody</v>
      </c>
      <c r="R354" s="13" t="str">
        <f t="shared" ca="1" si="315"/>
        <v>Cameron</v>
      </c>
    </row>
    <row r="355" spans="1:18" x14ac:dyDescent="0.25">
      <c r="B355" s="13" t="str">
        <f t="shared" ca="1" si="314"/>
        <v>Christmas</v>
      </c>
      <c r="C355" s="13" t="str">
        <f t="shared" ca="1" si="314"/>
        <v/>
      </c>
      <c r="D355" s="13" t="str">
        <f t="shared" ca="1" si="314"/>
        <v/>
      </c>
      <c r="E355" s="13" t="str">
        <f t="shared" ca="1" si="314"/>
        <v>Cameron</v>
      </c>
      <c r="F355" s="13" t="str">
        <f t="shared" ca="1" si="314"/>
        <v>Cody</v>
      </c>
      <c r="G355" s="13" t="str">
        <f t="shared" ca="1" si="314"/>
        <v>Jessica</v>
      </c>
      <c r="H355" s="13" t="str">
        <f t="shared" ca="1" si="314"/>
        <v/>
      </c>
      <c r="I355" s="13" t="str">
        <f t="shared" ca="1" si="314"/>
        <v/>
      </c>
      <c r="J355" s="13" t="str">
        <f t="shared" ca="1" si="314"/>
        <v/>
      </c>
      <c r="K355" s="13" t="str">
        <f t="shared" ca="1" si="314"/>
        <v>Mark</v>
      </c>
      <c r="L355" s="13" t="str">
        <f t="shared" ca="1" si="315"/>
        <v>Alex</v>
      </c>
      <c r="M355" s="13" t="str">
        <f t="shared" ca="1" si="315"/>
        <v/>
      </c>
      <c r="N355" s="13" t="str">
        <f t="shared" ca="1" si="315"/>
        <v/>
      </c>
      <c r="O355" s="13" t="str">
        <f t="shared" ca="1" si="315"/>
        <v>Cameron</v>
      </c>
      <c r="P355" s="13" t="str">
        <f t="shared" ca="1" si="315"/>
        <v>Jessica</v>
      </c>
      <c r="Q355" s="13" t="str">
        <f t="shared" ca="1" si="315"/>
        <v>Matt</v>
      </c>
      <c r="R355" s="13" t="str">
        <f t="shared" ca="1" si="315"/>
        <v>Jason</v>
      </c>
    </row>
    <row r="356" spans="1:18" x14ac:dyDescent="0.25">
      <c r="B356" s="13" t="str">
        <f t="shared" ca="1" si="314"/>
        <v>Cameron</v>
      </c>
      <c r="C356" s="13" t="str">
        <f t="shared" ca="1" si="314"/>
        <v/>
      </c>
      <c r="D356" s="13" t="str">
        <f t="shared" ca="1" si="314"/>
        <v/>
      </c>
      <c r="E356" s="13" t="str">
        <f t="shared" ca="1" si="314"/>
        <v>Alex</v>
      </c>
      <c r="F356" s="13" t="str">
        <f t="shared" ca="1" si="314"/>
        <v>Megan</v>
      </c>
      <c r="G356" s="13" t="str">
        <f t="shared" ca="1" si="314"/>
        <v>Jason</v>
      </c>
      <c r="H356" s="13" t="str">
        <f t="shared" ca="1" si="314"/>
        <v/>
      </c>
      <c r="I356" s="13" t="str">
        <f t="shared" ca="1" si="314"/>
        <v/>
      </c>
      <c r="J356" s="13" t="str">
        <f t="shared" ca="1" si="314"/>
        <v/>
      </c>
      <c r="K356" s="13" t="str">
        <f t="shared" ca="1" si="314"/>
        <v>Jason</v>
      </c>
      <c r="L356" s="13" t="str">
        <f t="shared" ca="1" si="315"/>
        <v>Jessica</v>
      </c>
      <c r="M356" s="13" t="str">
        <f t="shared" ca="1" si="315"/>
        <v/>
      </c>
      <c r="N356" s="13" t="str">
        <f t="shared" ca="1" si="315"/>
        <v/>
      </c>
      <c r="O356" s="13" t="str">
        <f t="shared" ca="1" si="315"/>
        <v>Jessica</v>
      </c>
      <c r="P356" s="13" t="str">
        <f t="shared" ca="1" si="315"/>
        <v>Raven</v>
      </c>
      <c r="Q356" s="13" t="str">
        <f t="shared" ca="1" si="315"/>
        <v>Megan</v>
      </c>
      <c r="R356" s="13" t="str">
        <f t="shared" ca="1" si="315"/>
        <v>Megan</v>
      </c>
    </row>
    <row r="357" spans="1:18" x14ac:dyDescent="0.25">
      <c r="B357" s="13" t="str">
        <f t="shared" ca="1" si="314"/>
        <v>Alex</v>
      </c>
      <c r="C357" s="13" t="str">
        <f t="shared" ca="1" si="314"/>
        <v/>
      </c>
      <c r="D357" s="13" t="str">
        <f t="shared" ca="1" si="314"/>
        <v/>
      </c>
      <c r="E357" s="13" t="str">
        <f t="shared" ca="1" si="314"/>
        <v>Jessica</v>
      </c>
      <c r="F357" s="13" t="str">
        <f t="shared" ca="1" si="314"/>
        <v>Cameron</v>
      </c>
      <c r="G357" s="13" t="str">
        <f t="shared" ca="1" si="314"/>
        <v>Cody</v>
      </c>
      <c r="H357" s="13" t="str">
        <f t="shared" ca="1" si="314"/>
        <v/>
      </c>
      <c r="I357" s="13" t="str">
        <f t="shared" ca="1" si="314"/>
        <v/>
      </c>
      <c r="J357" s="13" t="str">
        <f t="shared" ca="1" si="314"/>
        <v/>
      </c>
      <c r="K357" s="13" t="str">
        <f t="shared" ca="1" si="314"/>
        <v>Cody</v>
      </c>
      <c r="L357" s="13" t="str">
        <f t="shared" ca="1" si="315"/>
        <v>Mark</v>
      </c>
      <c r="M357" s="13" t="str">
        <f t="shared" ca="1" si="315"/>
        <v/>
      </c>
      <c r="N357" s="13" t="str">
        <f t="shared" ca="1" si="315"/>
        <v/>
      </c>
      <c r="O357" s="13" t="str">
        <f t="shared" ca="1" si="315"/>
        <v>Jason</v>
      </c>
      <c r="P357" s="13" t="str">
        <f t="shared" ca="1" si="315"/>
        <v>Alex</v>
      </c>
      <c r="Q357" s="13" t="str">
        <f t="shared" ca="1" si="315"/>
        <v>Raven</v>
      </c>
      <c r="R357" s="13" t="str">
        <f t="shared" ca="1" si="315"/>
        <v>Christmas</v>
      </c>
    </row>
    <row r="358" spans="1:18" x14ac:dyDescent="0.25">
      <c r="B358" s="13" t="str">
        <f t="shared" ca="1" si="314"/>
        <v>Jason</v>
      </c>
      <c r="C358" s="13" t="str">
        <f t="shared" ca="1" si="314"/>
        <v/>
      </c>
      <c r="D358" s="13" t="str">
        <f t="shared" ca="1" si="314"/>
        <v/>
      </c>
      <c r="E358" s="13" t="str">
        <f t="shared" ca="1" si="314"/>
        <v>Cody</v>
      </c>
      <c r="F358" s="13" t="str">
        <f t="shared" ca="1" si="314"/>
        <v>Jessica</v>
      </c>
      <c r="G358" s="13" t="str">
        <f t="shared" ca="1" si="314"/>
        <v>Matt</v>
      </c>
      <c r="H358" s="13" t="str">
        <f t="shared" ca="1" si="314"/>
        <v/>
      </c>
      <c r="I358" s="13" t="str">
        <f t="shared" ca="1" si="314"/>
        <v/>
      </c>
      <c r="J358" s="13" t="str">
        <f t="shared" ca="1" si="314"/>
        <v/>
      </c>
      <c r="K358" s="13" t="str">
        <f t="shared" ca="1" si="314"/>
        <v>Cameron</v>
      </c>
      <c r="L358" s="13" t="str">
        <f t="shared" ca="1" si="315"/>
        <v>Cody</v>
      </c>
      <c r="M358" s="13" t="str">
        <f t="shared" ca="1" si="315"/>
        <v/>
      </c>
      <c r="N358" s="13" t="str">
        <f t="shared" ca="1" si="315"/>
        <v/>
      </c>
      <c r="O358" s="13" t="str">
        <f t="shared" ca="1" si="315"/>
        <v>Mark</v>
      </c>
      <c r="P358" s="13" t="str">
        <f t="shared" ca="1" si="315"/>
        <v>Jason</v>
      </c>
      <c r="Q358" s="13" t="str">
        <f t="shared" ca="1" si="315"/>
        <v>Jessica</v>
      </c>
      <c r="R358" s="13" t="str">
        <f t="shared" ca="1" si="315"/>
        <v>Jessica</v>
      </c>
    </row>
    <row r="359" spans="1:18" x14ac:dyDescent="0.25">
      <c r="B359" s="13" t="str">
        <f t="shared" ca="1" si="314"/>
        <v>Matt</v>
      </c>
      <c r="C359" s="13" t="str">
        <f t="shared" ca="1" si="314"/>
        <v/>
      </c>
      <c r="D359" s="13" t="str">
        <f t="shared" ca="1" si="314"/>
        <v/>
      </c>
      <c r="E359" s="13" t="str">
        <f t="shared" ca="1" si="314"/>
        <v>Raven</v>
      </c>
      <c r="F359" s="13" t="str">
        <f t="shared" ca="1" si="314"/>
        <v>Mark</v>
      </c>
      <c r="G359" s="13" t="str">
        <f t="shared" ca="1" si="314"/>
        <v>Cameron</v>
      </c>
      <c r="H359" s="13" t="str">
        <f t="shared" ca="1" si="314"/>
        <v/>
      </c>
      <c r="I359" s="13" t="str">
        <f t="shared" ca="1" si="314"/>
        <v/>
      </c>
      <c r="J359" s="13" t="str">
        <f t="shared" ca="1" si="314"/>
        <v/>
      </c>
      <c r="K359" s="13" t="str">
        <f t="shared" ca="1" si="314"/>
        <v>Matt</v>
      </c>
      <c r="L359" s="13" t="str">
        <f t="shared" ca="1" si="315"/>
        <v>Raven</v>
      </c>
      <c r="M359" s="13" t="str">
        <f t="shared" ca="1" si="315"/>
        <v/>
      </c>
      <c r="N359" s="13" t="str">
        <f t="shared" ca="1" si="315"/>
        <v/>
      </c>
      <c r="O359" s="13" t="str">
        <f t="shared" ca="1" si="315"/>
        <v>Alex</v>
      </c>
      <c r="P359" s="13" t="str">
        <f t="shared" ca="1" si="315"/>
        <v>Cameron</v>
      </c>
      <c r="Q359" s="13" t="str">
        <f t="shared" ca="1" si="315"/>
        <v>Christmas</v>
      </c>
      <c r="R359" s="13" t="str">
        <f t="shared" ca="1" si="315"/>
        <v>Raven</v>
      </c>
    </row>
    <row r="360" spans="1:18" x14ac:dyDescent="0.25">
      <c r="B360" s="13" t="str">
        <f t="shared" ca="1" si="314"/>
        <v>Mark</v>
      </c>
      <c r="C360" s="13" t="str">
        <f t="shared" ca="1" si="314"/>
        <v/>
      </c>
      <c r="D360" s="13" t="str">
        <f t="shared" ca="1" si="314"/>
        <v/>
      </c>
      <c r="E360" s="13" t="str">
        <f t="shared" ca="1" si="314"/>
        <v>Mark</v>
      </c>
      <c r="F360" s="13" t="str">
        <f t="shared" ca="1" si="314"/>
        <v>Raven</v>
      </c>
      <c r="G360" s="13" t="str">
        <f t="shared" ca="1" si="314"/>
        <v>Raven</v>
      </c>
      <c r="H360" s="13" t="str">
        <f t="shared" ca="1" si="314"/>
        <v/>
      </c>
      <c r="I360" s="13" t="str">
        <f t="shared" ca="1" si="314"/>
        <v/>
      </c>
      <c r="J360" s="13" t="str">
        <f t="shared" ca="1" si="314"/>
        <v/>
      </c>
      <c r="K360" s="13" t="str">
        <f t="shared" ca="1" si="314"/>
        <v>Alex</v>
      </c>
      <c r="L360" s="13" t="str">
        <f t="shared" ca="1" si="315"/>
        <v>Christmas</v>
      </c>
      <c r="M360" s="13" t="str">
        <f t="shared" ca="1" si="315"/>
        <v/>
      </c>
      <c r="N360" s="13" t="str">
        <f t="shared" ca="1" si="315"/>
        <v/>
      </c>
      <c r="O360" s="13" t="str">
        <f t="shared" ca="1" si="315"/>
        <v>Megan</v>
      </c>
      <c r="P360" s="13" t="str">
        <f t="shared" ca="1" si="315"/>
        <v>Megan</v>
      </c>
      <c r="Q360" s="13" t="str">
        <f t="shared" ca="1" si="315"/>
        <v>Mark</v>
      </c>
      <c r="R360" s="13" t="str">
        <f t="shared" ca="1" si="315"/>
        <v>Cody</v>
      </c>
    </row>
    <row r="361" spans="1:18" x14ac:dyDescent="0.25">
      <c r="B361" s="13" t="str">
        <f t="shared" ca="1" si="314"/>
        <v>Megan</v>
      </c>
      <c r="C361" s="13" t="str">
        <f t="shared" ca="1" si="314"/>
        <v/>
      </c>
      <c r="D361" s="13" t="str">
        <f t="shared" ca="1" si="314"/>
        <v/>
      </c>
      <c r="E361" s="13" t="str">
        <f t="shared" ca="1" si="314"/>
        <v>Christmas</v>
      </c>
      <c r="F361" s="13" t="str">
        <f t="shared" ca="1" si="314"/>
        <v>Alex</v>
      </c>
      <c r="G361" s="13" t="str">
        <f t="shared" ca="1" si="314"/>
        <v>Megan</v>
      </c>
      <c r="H361" s="13" t="str">
        <f t="shared" ca="1" si="314"/>
        <v/>
      </c>
      <c r="I361" s="13" t="str">
        <f t="shared" ca="1" si="314"/>
        <v/>
      </c>
      <c r="J361" s="13" t="str">
        <f t="shared" ca="1" si="314"/>
        <v/>
      </c>
      <c r="K361" s="13" t="str">
        <f t="shared" ca="1" si="314"/>
        <v>Megan</v>
      </c>
      <c r="L361" s="13" t="str">
        <f t="shared" ca="1" si="315"/>
        <v>Cameron</v>
      </c>
      <c r="M361" s="13" t="str">
        <f t="shared" ca="1" si="315"/>
        <v/>
      </c>
      <c r="N361" s="13" t="str">
        <f t="shared" ca="1" si="315"/>
        <v/>
      </c>
      <c r="O361" s="13" t="str">
        <f t="shared" ca="1" si="315"/>
        <v>Christmas</v>
      </c>
      <c r="P361" s="13" t="str">
        <f t="shared" ca="1" si="315"/>
        <v>Cody</v>
      </c>
      <c r="Q361" s="13" t="str">
        <f t="shared" ca="1" si="315"/>
        <v>Jason</v>
      </c>
      <c r="R361" s="13" t="str">
        <f t="shared" ca="1" si="315"/>
        <v>Matt</v>
      </c>
    </row>
    <row r="362" spans="1:18" x14ac:dyDescent="0.25">
      <c r="B362" s="13"/>
    </row>
    <row r="363" spans="1:18" x14ac:dyDescent="0.25">
      <c r="B363" s="47" t="str">
        <f t="shared" ref="B363:R363" ca="1" si="316">B352</f>
        <v>Raven</v>
      </c>
      <c r="C363" s="47" t="str">
        <f t="shared" ca="1" si="316"/>
        <v/>
      </c>
      <c r="D363" s="47" t="str">
        <f t="shared" ca="1" si="316"/>
        <v/>
      </c>
      <c r="E363" s="47" t="str">
        <f t="shared" ca="1" si="316"/>
        <v>Megan</v>
      </c>
      <c r="F363" s="47" t="str">
        <f t="shared" ca="1" si="316"/>
        <v>Matt</v>
      </c>
      <c r="G363" s="47" t="str">
        <f t="shared" ca="1" si="316"/>
        <v>Mark</v>
      </c>
      <c r="H363" s="47" t="str">
        <f t="shared" ca="1" si="316"/>
        <v/>
      </c>
      <c r="I363" s="47" t="str">
        <f t="shared" ca="1" si="316"/>
        <v/>
      </c>
      <c r="J363" s="47" t="str">
        <f t="shared" ca="1" si="316"/>
        <v/>
      </c>
      <c r="K363" s="47" t="str">
        <f t="shared" ca="1" si="316"/>
        <v>Jessica</v>
      </c>
      <c r="L363" s="47" t="str">
        <f t="shared" ca="1" si="316"/>
        <v>Jason</v>
      </c>
      <c r="M363" s="47" t="str">
        <f t="shared" ca="1" si="316"/>
        <v/>
      </c>
      <c r="N363" s="47" t="str">
        <f t="shared" ca="1" si="316"/>
        <v/>
      </c>
      <c r="O363" s="47" t="str">
        <f t="shared" ca="1" si="316"/>
        <v>Cody</v>
      </c>
      <c r="P363" s="47" t="str">
        <f t="shared" ca="1" si="316"/>
        <v>Christmas</v>
      </c>
      <c r="Q363" s="47" t="str">
        <f t="shared" ca="1" si="316"/>
        <v>Cameron</v>
      </c>
      <c r="R363" s="47" t="str">
        <f t="shared" ca="1" si="316"/>
        <v>Alex</v>
      </c>
    </row>
    <row r="364" spans="1:18" x14ac:dyDescent="0.25">
      <c r="A364" t="str">
        <f ca="1">Game!H1182</f>
        <v>Jessica</v>
      </c>
      <c r="B364" s="13">
        <f t="shared" ref="B364:R364" ca="1" si="317">IF(B363="","",INDEX(B$2:B$18,MATCH($A364,$A$2:$A$18,0)))</f>
        <v>82.335943293871836</v>
      </c>
      <c r="C364" s="13" t="str">
        <f t="shared" ca="1" si="317"/>
        <v/>
      </c>
      <c r="D364" s="13" t="str">
        <f t="shared" ca="1" si="317"/>
        <v/>
      </c>
      <c r="E364" s="13">
        <f t="shared" ca="1" si="317"/>
        <v>28.04830338810412</v>
      </c>
      <c r="F364" s="13">
        <f t="shared" ca="1" si="317"/>
        <v>43.093973233306507</v>
      </c>
      <c r="G364" s="13">
        <f t="shared" ca="1" si="317"/>
        <v>59.282946937072587</v>
      </c>
      <c r="H364" s="13" t="str">
        <f t="shared" ca="1" si="317"/>
        <v/>
      </c>
      <c r="I364" s="13" t="str">
        <f t="shared" ca="1" si="317"/>
        <v/>
      </c>
      <c r="J364" s="13" t="str">
        <f t="shared" ca="1" si="317"/>
        <v/>
      </c>
      <c r="K364" s="13">
        <f t="shared" ca="1" si="317"/>
        <v>101</v>
      </c>
      <c r="L364" s="13">
        <f t="shared" ca="1" si="317"/>
        <v>51.265613737767033</v>
      </c>
      <c r="M364" s="13" t="str">
        <f t="shared" ca="1" si="317"/>
        <v/>
      </c>
      <c r="N364" s="13" t="str">
        <f t="shared" ca="1" si="317"/>
        <v/>
      </c>
      <c r="O364" s="13">
        <f t="shared" ca="1" si="317"/>
        <v>46.28551811425136</v>
      </c>
      <c r="P364" s="13">
        <f t="shared" ca="1" si="317"/>
        <v>68.240859442058181</v>
      </c>
      <c r="Q364" s="13">
        <f t="shared" ca="1" si="317"/>
        <v>44.433469371378045</v>
      </c>
      <c r="R364" s="13">
        <f t="shared" ca="1" si="317"/>
        <v>38.251270749609361</v>
      </c>
    </row>
    <row r="366" spans="1:18" x14ac:dyDescent="0.25">
      <c r="A366" t="s">
        <v>113</v>
      </c>
      <c r="B366" t="str">
        <f ca="1">Game!F1186</f>
        <v>Megan</v>
      </c>
      <c r="C366" t="str">
        <f ca="1">Game!F1187</f>
        <v>Alex</v>
      </c>
      <c r="E366" s="13"/>
      <c r="F366" s="13"/>
      <c r="G366" s="13"/>
      <c r="H366" s="13"/>
      <c r="I366" s="13"/>
      <c r="J366" s="13"/>
      <c r="K366" s="13"/>
      <c r="L366" s="13"/>
      <c r="M366" s="13"/>
      <c r="N366" s="13"/>
      <c r="O366" s="13"/>
      <c r="P366" s="13"/>
      <c r="Q366" s="13"/>
      <c r="R366" s="13"/>
    </row>
    <row r="367" spans="1:18" x14ac:dyDescent="0.25">
      <c r="A367">
        <f>A341</f>
        <v>65</v>
      </c>
      <c r="B367" t="str">
        <f ca="1">IF(COUNTIF($B366:$D366,B$1)=0,"",B$1)</f>
        <v/>
      </c>
      <c r="C367" t="str">
        <f t="shared" ref="C367:R367" ca="1" si="318">IF(COUNTIF($B366:$D366,C$1)=0,"",C$1)</f>
        <v/>
      </c>
      <c r="D367" t="str">
        <f t="shared" ca="1" si="318"/>
        <v/>
      </c>
      <c r="E367" t="str">
        <f t="shared" ca="1" si="318"/>
        <v>Megan</v>
      </c>
      <c r="F367" t="str">
        <f t="shared" ca="1" si="318"/>
        <v/>
      </c>
      <c r="G367" t="str">
        <f t="shared" ca="1" si="318"/>
        <v/>
      </c>
      <c r="H367" t="str">
        <f t="shared" ca="1" si="318"/>
        <v/>
      </c>
      <c r="I367" t="str">
        <f t="shared" ca="1" si="318"/>
        <v/>
      </c>
      <c r="J367" t="str">
        <f t="shared" ca="1" si="318"/>
        <v/>
      </c>
      <c r="K367" t="str">
        <f t="shared" ca="1" si="318"/>
        <v/>
      </c>
      <c r="L367" t="str">
        <f t="shared" ca="1" si="318"/>
        <v/>
      </c>
      <c r="M367" t="str">
        <f t="shared" ca="1" si="318"/>
        <v/>
      </c>
      <c r="N367" t="str">
        <f t="shared" ca="1" si="318"/>
        <v/>
      </c>
      <c r="O367" t="str">
        <f t="shared" ca="1" si="318"/>
        <v/>
      </c>
      <c r="P367" t="str">
        <f t="shared" ca="1" si="318"/>
        <v/>
      </c>
      <c r="Q367" t="str">
        <f t="shared" ca="1" si="318"/>
        <v/>
      </c>
      <c r="R367" t="str">
        <f t="shared" ca="1" si="318"/>
        <v>Alex</v>
      </c>
    </row>
    <row r="368" spans="1:18" x14ac:dyDescent="0.25">
      <c r="A368" t="str">
        <f ca="1">Game!H1210</f>
        <v>Mark</v>
      </c>
      <c r="B368" t="str">
        <f ca="1">IF(B367="","",INDEX(B$2:B$18,MATCH($A$368,$A$2:$A$18,0)))</f>
        <v/>
      </c>
      <c r="C368" t="str">
        <f t="shared" ref="C368:R368" ca="1" si="319">IF(C367="","",INDEX(C$2:C$18,MATCH($A$368,$A$2:$A$18,0)))</f>
        <v/>
      </c>
      <c r="D368" t="str">
        <f t="shared" ca="1" si="319"/>
        <v/>
      </c>
      <c r="E368">
        <f t="shared" ca="1" si="319"/>
        <v>7.442508972552484</v>
      </c>
      <c r="F368" t="str">
        <f t="shared" ca="1" si="319"/>
        <v/>
      </c>
      <c r="G368" t="str">
        <f t="shared" ca="1" si="319"/>
        <v/>
      </c>
      <c r="H368" t="str">
        <f t="shared" ca="1" si="319"/>
        <v/>
      </c>
      <c r="I368" t="str">
        <f t="shared" ca="1" si="319"/>
        <v/>
      </c>
      <c r="J368" t="str">
        <f t="shared" ca="1" si="319"/>
        <v/>
      </c>
      <c r="K368" t="str">
        <f t="shared" ca="1" si="319"/>
        <v/>
      </c>
      <c r="L368" t="str">
        <f t="shared" ca="1" si="319"/>
        <v/>
      </c>
      <c r="M368" t="str">
        <f t="shared" ca="1" si="319"/>
        <v/>
      </c>
      <c r="N368" t="str">
        <f t="shared" ca="1" si="319"/>
        <v/>
      </c>
      <c r="O368" t="str">
        <f t="shared" ca="1" si="319"/>
        <v/>
      </c>
      <c r="P368" t="str">
        <f t="shared" ca="1" si="319"/>
        <v/>
      </c>
      <c r="Q368" t="str">
        <f t="shared" ca="1" si="319"/>
        <v/>
      </c>
      <c r="R368">
        <f t="shared" ca="1" si="319"/>
        <v>76.31237136960803</v>
      </c>
    </row>
    <row r="369" spans="1:18" x14ac:dyDescent="0.25">
      <c r="A369">
        <f ca="1">LARGE(B368:R368,1)</f>
        <v>76.31237136960803</v>
      </c>
      <c r="E369" s="13"/>
      <c r="F369" s="13"/>
      <c r="G369" s="13"/>
      <c r="H369" s="13"/>
      <c r="I369" s="13"/>
      <c r="J369" s="13"/>
      <c r="K369" s="13"/>
      <c r="L369" s="13"/>
      <c r="M369" s="13"/>
      <c r="N369" s="13"/>
      <c r="O369" s="13"/>
      <c r="P369" s="13"/>
      <c r="Q369" s="13"/>
      <c r="R369" s="13"/>
    </row>
    <row r="370" spans="1:18" x14ac:dyDescent="0.25">
      <c r="A370" t="str">
        <f ca="1">IF(A369&lt;=A367-1,IF(D366="","Neither Nominee","Nobody"),INDEX(B367:R367,MATCH(A369,B368:R368,0)))</f>
        <v>Alex</v>
      </c>
      <c r="E370" s="13"/>
      <c r="F370" s="13"/>
      <c r="G370" s="13"/>
      <c r="H370" s="13"/>
      <c r="I370" s="13"/>
      <c r="J370" s="13"/>
      <c r="K370" s="13"/>
      <c r="L370" s="13"/>
      <c r="M370" s="13"/>
      <c r="N370" s="13"/>
      <c r="O370" s="13"/>
      <c r="P370" s="13"/>
      <c r="Q370" s="13"/>
      <c r="R370" s="13"/>
    </row>
    <row r="372" spans="1:18" x14ac:dyDescent="0.25">
      <c r="A372" s="13"/>
      <c r="B372" s="13" t="str">
        <f t="shared" ref="B372:R372" ca="1" si="320">B363</f>
        <v>Raven</v>
      </c>
      <c r="C372" s="13" t="str">
        <f t="shared" ca="1" si="320"/>
        <v/>
      </c>
      <c r="D372" s="13" t="str">
        <f t="shared" ca="1" si="320"/>
        <v/>
      </c>
      <c r="E372" s="13" t="str">
        <f t="shared" ca="1" si="320"/>
        <v>Megan</v>
      </c>
      <c r="F372" s="13" t="str">
        <f t="shared" ca="1" si="320"/>
        <v>Matt</v>
      </c>
      <c r="G372" s="13" t="str">
        <f t="shared" ca="1" si="320"/>
        <v>Mark</v>
      </c>
      <c r="H372" s="13" t="str">
        <f t="shared" ca="1" si="320"/>
        <v/>
      </c>
      <c r="I372" s="13" t="str">
        <f t="shared" ca="1" si="320"/>
        <v/>
      </c>
      <c r="J372" s="13" t="str">
        <f t="shared" ca="1" si="320"/>
        <v/>
      </c>
      <c r="K372" s="13" t="str">
        <f t="shared" ca="1" si="320"/>
        <v>Jessica</v>
      </c>
      <c r="L372" s="13" t="str">
        <f t="shared" ca="1" si="320"/>
        <v>Jason</v>
      </c>
      <c r="M372" s="13" t="str">
        <f t="shared" ca="1" si="320"/>
        <v/>
      </c>
      <c r="N372" s="13" t="str">
        <f t="shared" ca="1" si="320"/>
        <v/>
      </c>
      <c r="O372" s="13" t="str">
        <f t="shared" ca="1" si="320"/>
        <v>Cody</v>
      </c>
      <c r="P372" s="13" t="str">
        <f t="shared" ca="1" si="320"/>
        <v>Christmas</v>
      </c>
      <c r="Q372" s="13" t="str">
        <f t="shared" ca="1" si="320"/>
        <v>Cameron</v>
      </c>
      <c r="R372" s="13" t="str">
        <f t="shared" ca="1" si="320"/>
        <v>Alex</v>
      </c>
    </row>
    <row r="373" spans="1:18" x14ac:dyDescent="0.25">
      <c r="A373" s="13" t="str">
        <f ca="1">Game!G1219</f>
        <v>Megan</v>
      </c>
      <c r="B373">
        <f t="shared" ref="B373" ca="1" si="321">IF(B372="","",INDEX(B$2:B$18,MATCH($A373,$A$2:$A$18,0)))</f>
        <v>10.140565248618941</v>
      </c>
      <c r="C373" t="str">
        <f ca="1">IF(C372="","",INDEX(C$2:C$18,MATCH($A373,$A$2:$A$18,0)))</f>
        <v/>
      </c>
      <c r="D373" t="str">
        <f t="shared" ref="D373:R373" ca="1" si="322">IF(D372="","",INDEX(D$2:D$18,MATCH($A373,$A$2:$A$18,0)))</f>
        <v/>
      </c>
      <c r="E373">
        <f t="shared" ca="1" si="322"/>
        <v>101</v>
      </c>
      <c r="F373">
        <f t="shared" ca="1" si="322"/>
        <v>72.313428826708588</v>
      </c>
      <c r="G373">
        <f t="shared" ca="1" si="322"/>
        <v>7.442508972552484</v>
      </c>
      <c r="H373" t="str">
        <f t="shared" ca="1" si="322"/>
        <v/>
      </c>
      <c r="I373" t="str">
        <f t="shared" ca="1" si="322"/>
        <v/>
      </c>
      <c r="J373" t="str">
        <f t="shared" ca="1" si="322"/>
        <v/>
      </c>
      <c r="K373">
        <f t="shared" ca="1" si="322"/>
        <v>28.04830338810412</v>
      </c>
      <c r="L373">
        <f t="shared" ca="1" si="322"/>
        <v>79.425080473582895</v>
      </c>
      <c r="M373" t="str">
        <f t="shared" ca="1" si="322"/>
        <v/>
      </c>
      <c r="N373" t="str">
        <f t="shared" ca="1" si="322"/>
        <v/>
      </c>
      <c r="O373">
        <f t="shared" ca="1" si="322"/>
        <v>18.048940847008435</v>
      </c>
      <c r="P373">
        <f t="shared" ca="1" si="322"/>
        <v>7.1318867821929848</v>
      </c>
      <c r="Q373">
        <f t="shared" ca="1" si="322"/>
        <v>61.288270954429585</v>
      </c>
      <c r="R373">
        <f t="shared" ca="1" si="322"/>
        <v>54.092933100007563</v>
      </c>
    </row>
    <row r="374" spans="1:18" x14ac:dyDescent="0.25">
      <c r="A374" s="13" t="str">
        <f ca="1">Game!G1220</f>
        <v>Matt</v>
      </c>
      <c r="B374">
        <f t="shared" ref="B374:R374" ca="1" si="323">IF(B373="","",INDEX(B$2:B$18,MATCH($A374,$A$2:$A$18,0)))</f>
        <v>16.041606218120869</v>
      </c>
      <c r="C374" t="str">
        <f t="shared" ca="1" si="323"/>
        <v/>
      </c>
      <c r="D374" t="str">
        <f t="shared" ca="1" si="323"/>
        <v/>
      </c>
      <c r="E374">
        <f t="shared" ca="1" si="323"/>
        <v>72.313428826708588</v>
      </c>
      <c r="F374">
        <f t="shared" ca="1" si="323"/>
        <v>101</v>
      </c>
      <c r="G374">
        <f t="shared" ca="1" si="323"/>
        <v>24.202774351677192</v>
      </c>
      <c r="H374" t="str">
        <f t="shared" ca="1" si="323"/>
        <v/>
      </c>
      <c r="I374" t="str">
        <f t="shared" ca="1" si="323"/>
        <v/>
      </c>
      <c r="J374" t="str">
        <f t="shared" ca="1" si="323"/>
        <v/>
      </c>
      <c r="K374">
        <f t="shared" ca="1" si="323"/>
        <v>43.093973233306507</v>
      </c>
      <c r="L374">
        <f t="shared" ca="1" si="323"/>
        <v>84.449421673651997</v>
      </c>
      <c r="M374" t="str">
        <f t="shared" ca="1" si="323"/>
        <v/>
      </c>
      <c r="N374" t="str">
        <f t="shared" ca="1" si="323"/>
        <v/>
      </c>
      <c r="O374">
        <f t="shared" ca="1" si="323"/>
        <v>77.161630741743451</v>
      </c>
      <c r="P374">
        <f t="shared" ca="1" si="323"/>
        <v>85.372246819883017</v>
      </c>
      <c r="Q374">
        <f t="shared" ca="1" si="323"/>
        <v>68.279130379841646</v>
      </c>
      <c r="R374">
        <f t="shared" ca="1" si="323"/>
        <v>1.3087948788959189</v>
      </c>
    </row>
    <row r="375" spans="1:18" x14ac:dyDescent="0.25">
      <c r="A375" s="13"/>
      <c r="B375" t="str">
        <f>IF(A375="","",IF(B374="","",INDEX(B$2:B$18,MATCH($A375,$A$2:$A$18,0))))</f>
        <v/>
      </c>
      <c r="C375" t="str">
        <f t="shared" ref="C375:R375" si="324">IF($A375="","",IF(C374="","",INDEX(C$2:C$18,MATCH($A375,$A$2:$A$18,0))))</f>
        <v/>
      </c>
      <c r="D375" t="str">
        <f t="shared" si="324"/>
        <v/>
      </c>
      <c r="E375" t="str">
        <f t="shared" si="324"/>
        <v/>
      </c>
      <c r="F375" t="str">
        <f t="shared" si="324"/>
        <v/>
      </c>
      <c r="G375" t="str">
        <f t="shared" si="324"/>
        <v/>
      </c>
      <c r="H375" t="str">
        <f t="shared" si="324"/>
        <v/>
      </c>
      <c r="I375" t="str">
        <f t="shared" si="324"/>
        <v/>
      </c>
      <c r="J375" t="str">
        <f t="shared" si="324"/>
        <v/>
      </c>
      <c r="K375" t="str">
        <f t="shared" si="324"/>
        <v/>
      </c>
      <c r="L375" t="str">
        <f t="shared" si="324"/>
        <v/>
      </c>
      <c r="M375" t="str">
        <f t="shared" si="324"/>
        <v/>
      </c>
      <c r="N375" t="str">
        <f t="shared" si="324"/>
        <v/>
      </c>
      <c r="O375" t="str">
        <f t="shared" si="324"/>
        <v/>
      </c>
      <c r="P375" t="str">
        <f t="shared" si="324"/>
        <v/>
      </c>
      <c r="Q375" t="str">
        <f t="shared" si="324"/>
        <v/>
      </c>
      <c r="R375" t="str">
        <f t="shared" si="324"/>
        <v/>
      </c>
    </row>
    <row r="376" spans="1:18" x14ac:dyDescent="0.25">
      <c r="A376" s="13"/>
      <c r="B376" t="str">
        <f ca="1">IF(B372="","",INDEX(A373:A375,MATCH(SMALL(B373:B375,1),B373:B375,0)))</f>
        <v>Megan</v>
      </c>
      <c r="C376" t="str">
        <f t="shared" ref="C376:R376" ca="1" si="325">IF(C372="","",INDEX($A373:$A375,MATCH(SMALL(C373:C375,1),C373:C375,0)))</f>
        <v/>
      </c>
      <c r="D376" t="str">
        <f t="shared" ca="1" si="325"/>
        <v/>
      </c>
      <c r="E376" t="str">
        <f t="shared" ca="1" si="325"/>
        <v>Matt</v>
      </c>
      <c r="F376" t="str">
        <f t="shared" ca="1" si="325"/>
        <v>Megan</v>
      </c>
      <c r="G376" t="str">
        <f t="shared" ca="1" si="325"/>
        <v>Megan</v>
      </c>
      <c r="H376" t="str">
        <f t="shared" ca="1" si="325"/>
        <v/>
      </c>
      <c r="I376" t="str">
        <f t="shared" ca="1" si="325"/>
        <v/>
      </c>
      <c r="J376" t="str">
        <f t="shared" ca="1" si="325"/>
        <v/>
      </c>
      <c r="K376" t="str">
        <f t="shared" ca="1" si="325"/>
        <v>Megan</v>
      </c>
      <c r="L376" t="str">
        <f t="shared" ca="1" si="325"/>
        <v>Megan</v>
      </c>
      <c r="M376" t="str">
        <f t="shared" ca="1" si="325"/>
        <v/>
      </c>
      <c r="N376" t="str">
        <f t="shared" ca="1" si="325"/>
        <v/>
      </c>
      <c r="O376" t="str">
        <f t="shared" ca="1" si="325"/>
        <v>Megan</v>
      </c>
      <c r="P376" t="str">
        <f t="shared" ca="1" si="325"/>
        <v>Megan</v>
      </c>
      <c r="Q376" t="str">
        <f t="shared" ca="1" si="325"/>
        <v>Megan</v>
      </c>
      <c r="R376" t="str">
        <f t="shared" ca="1" si="325"/>
        <v>Matt</v>
      </c>
    </row>
    <row r="378" spans="1:18" x14ac:dyDescent="0.25">
      <c r="A378" t="str">
        <f ca="1">Game!G1236</f>
        <v>Megan</v>
      </c>
      <c r="B378" t="str">
        <f ca="1">IF($A$378=B352,"",B352)</f>
        <v>Raven</v>
      </c>
      <c r="C378" t="str">
        <f t="shared" ref="C378:R378" ca="1" si="326">IF($A$378=C352,"",C352)</f>
        <v/>
      </c>
      <c r="D378" t="str">
        <f t="shared" ca="1" si="326"/>
        <v/>
      </c>
      <c r="E378" t="str">
        <f t="shared" ca="1" si="326"/>
        <v/>
      </c>
      <c r="F378" t="str">
        <f t="shared" ca="1" si="326"/>
        <v>Matt</v>
      </c>
      <c r="G378" t="str">
        <f t="shared" ca="1" si="326"/>
        <v>Mark</v>
      </c>
      <c r="H378" t="str">
        <f t="shared" ca="1" si="326"/>
        <v/>
      </c>
      <c r="I378" t="str">
        <f t="shared" ca="1" si="326"/>
        <v/>
      </c>
      <c r="J378" t="str">
        <f t="shared" ca="1" si="326"/>
        <v/>
      </c>
      <c r="K378" t="str">
        <f t="shared" ca="1" si="326"/>
        <v>Jessica</v>
      </c>
      <c r="L378" t="str">
        <f t="shared" ca="1" si="326"/>
        <v>Jason</v>
      </c>
      <c r="M378" t="str">
        <f t="shared" ca="1" si="326"/>
        <v/>
      </c>
      <c r="N378" t="str">
        <f t="shared" ca="1" si="326"/>
        <v/>
      </c>
      <c r="O378" t="str">
        <f t="shared" ca="1" si="326"/>
        <v>Cody</v>
      </c>
      <c r="P378" t="str">
        <f t="shared" ca="1" si="326"/>
        <v>Christmas</v>
      </c>
      <c r="Q378" t="str">
        <f t="shared" ca="1" si="326"/>
        <v>Cameron</v>
      </c>
      <c r="R378" t="str">
        <f t="shared" ca="1" si="326"/>
        <v>Alex</v>
      </c>
    </row>
    <row r="379" spans="1:18" x14ac:dyDescent="0.25">
      <c r="B379" t="str">
        <f ca="1">IF(B378="","",IF(B353=A378,B354,B353))</f>
        <v>Jessica</v>
      </c>
      <c r="C379" t="str">
        <f t="shared" ref="C379:R379" ca="1" si="327">IF(C378="","",IF(C353=B378,C354,C353))</f>
        <v/>
      </c>
      <c r="D379" t="str">
        <f t="shared" ca="1" si="327"/>
        <v/>
      </c>
      <c r="E379" t="str">
        <f t="shared" ca="1" si="327"/>
        <v/>
      </c>
      <c r="F379" t="str">
        <f t="shared" ca="1" si="327"/>
        <v>Christmas</v>
      </c>
      <c r="G379" t="str">
        <f t="shared" ca="1" si="327"/>
        <v>Alex</v>
      </c>
      <c r="H379" t="str">
        <f t="shared" ca="1" si="327"/>
        <v/>
      </c>
      <c r="I379" t="str">
        <f t="shared" ca="1" si="327"/>
        <v/>
      </c>
      <c r="J379" t="str">
        <f t="shared" ca="1" si="327"/>
        <v/>
      </c>
      <c r="K379" t="str">
        <f t="shared" ca="1" si="327"/>
        <v>Raven</v>
      </c>
      <c r="L379" t="str">
        <f t="shared" ca="1" si="327"/>
        <v>Matt</v>
      </c>
      <c r="M379" t="str">
        <f t="shared" ca="1" si="327"/>
        <v/>
      </c>
      <c r="N379" t="str">
        <f t="shared" ca="1" si="327"/>
        <v/>
      </c>
      <c r="O379" t="str">
        <f t="shared" ca="1" si="327"/>
        <v>Matt</v>
      </c>
      <c r="P379" t="str">
        <f t="shared" ca="1" si="327"/>
        <v>Matt</v>
      </c>
      <c r="Q379" t="str">
        <f t="shared" ca="1" si="327"/>
        <v>Alex</v>
      </c>
      <c r="R379" t="str">
        <f t="shared" ca="1" si="327"/>
        <v>Mark</v>
      </c>
    </row>
    <row r="380" spans="1:18" x14ac:dyDescent="0.25">
      <c r="B380" t="str">
        <f t="shared" ref="B380:B386" ca="1" si="328">IF(B$378="","",IF(B379=B354,B355,IF(B354=$A$378,B355,B354)))</f>
        <v>Cody</v>
      </c>
      <c r="C380" t="str">
        <f t="shared" ref="C380:R380" ca="1" si="329">IF(C$378="","",IF(C379=C354,C355,IF(C354=$A$378,C355,C354)))</f>
        <v/>
      </c>
      <c r="D380" t="str">
        <f t="shared" ca="1" si="329"/>
        <v/>
      </c>
      <c r="E380" t="str">
        <f t="shared" ca="1" si="329"/>
        <v/>
      </c>
      <c r="F380" t="str">
        <f t="shared" ca="1" si="329"/>
        <v>Jason</v>
      </c>
      <c r="G380" t="str">
        <f t="shared" ca="1" si="329"/>
        <v>Christmas</v>
      </c>
      <c r="H380" t="str">
        <f t="shared" ca="1" si="329"/>
        <v/>
      </c>
      <c r="I380" t="str">
        <f t="shared" ca="1" si="329"/>
        <v/>
      </c>
      <c r="J380" t="str">
        <f t="shared" ca="1" si="329"/>
        <v/>
      </c>
      <c r="K380" t="str">
        <f t="shared" ca="1" si="329"/>
        <v>Christmas</v>
      </c>
      <c r="L380" t="str">
        <f t="shared" ca="1" si="329"/>
        <v>Alex</v>
      </c>
      <c r="M380" t="str">
        <f t="shared" ca="1" si="329"/>
        <v/>
      </c>
      <c r="N380" t="str">
        <f t="shared" ca="1" si="329"/>
        <v/>
      </c>
      <c r="O380" t="str">
        <f t="shared" ca="1" si="329"/>
        <v>Raven</v>
      </c>
      <c r="P380" t="str">
        <f t="shared" ca="1" si="329"/>
        <v>Mark</v>
      </c>
      <c r="Q380" t="str">
        <f t="shared" ca="1" si="329"/>
        <v>Cody</v>
      </c>
      <c r="R380" t="str">
        <f t="shared" ca="1" si="329"/>
        <v>Cameron</v>
      </c>
    </row>
    <row r="381" spans="1:18" x14ac:dyDescent="0.25">
      <c r="B381" t="str">
        <f t="shared" ca="1" si="328"/>
        <v>Christmas</v>
      </c>
      <c r="C381" t="str">
        <f t="shared" ref="C381:C386" ca="1" si="330">IF(C$378="","",IF(C380=C355,C356,IF(C355=$A$378,C356,C355)))</f>
        <v/>
      </c>
      <c r="D381" t="str">
        <f t="shared" ref="D381:D386" ca="1" si="331">IF(D$378="","",IF(D380=D355,D356,IF(D355=$A$378,D356,D355)))</f>
        <v/>
      </c>
      <c r="E381" t="str">
        <f t="shared" ref="E381:E386" ca="1" si="332">IF(E$378="","",IF(E380=E355,E356,IF(E355=$A$378,E356,E355)))</f>
        <v/>
      </c>
      <c r="F381" t="str">
        <f t="shared" ref="F381:F386" ca="1" si="333">IF(F$378="","",IF(F380=F355,F356,IF(F355=$A$378,F356,F355)))</f>
        <v>Cody</v>
      </c>
      <c r="G381" t="str">
        <f t="shared" ref="G381:G386" ca="1" si="334">IF(G$378="","",IF(G380=G355,G356,IF(G355=$A$378,G356,G355)))</f>
        <v>Jessica</v>
      </c>
      <c r="H381" t="str">
        <f t="shared" ref="H381:H386" ca="1" si="335">IF(H$378="","",IF(H380=H355,H356,IF(H355=$A$378,H356,H355)))</f>
        <v/>
      </c>
      <c r="I381" t="str">
        <f t="shared" ref="I381:I386" ca="1" si="336">IF(I$378="","",IF(I380=I355,I356,IF(I355=$A$378,I356,I355)))</f>
        <v/>
      </c>
      <c r="J381" t="str">
        <f t="shared" ref="J381:J386" ca="1" si="337">IF(J$378="","",IF(J380=J355,J356,IF(J355=$A$378,J356,J355)))</f>
        <v/>
      </c>
      <c r="K381" t="str">
        <f t="shared" ref="K381:K386" ca="1" si="338">IF(K$378="","",IF(K380=K355,K356,IF(K355=$A$378,K356,K355)))</f>
        <v>Mark</v>
      </c>
      <c r="L381" t="str">
        <f t="shared" ref="L381:L386" ca="1" si="339">IF(L$378="","",IF(L380=L355,L356,IF(L355=$A$378,L356,L355)))</f>
        <v>Jessica</v>
      </c>
      <c r="M381" t="str">
        <f t="shared" ref="M381:M386" ca="1" si="340">IF(M$378="","",IF(M380=M355,M356,IF(M355=$A$378,M356,M355)))</f>
        <v/>
      </c>
      <c r="N381" t="str">
        <f t="shared" ref="N381:N386" ca="1" si="341">IF(N$378="","",IF(N380=N355,N356,IF(N355=$A$378,N356,N355)))</f>
        <v/>
      </c>
      <c r="O381" t="str">
        <f t="shared" ref="O381:O386" ca="1" si="342">IF(O$378="","",IF(O380=O355,O356,IF(O355=$A$378,O356,O355)))</f>
        <v>Cameron</v>
      </c>
      <c r="P381" t="str">
        <f t="shared" ref="P381:P386" ca="1" si="343">IF(P$378="","",IF(P380=P355,P356,IF(P355=$A$378,P356,P355)))</f>
        <v>Jessica</v>
      </c>
      <c r="Q381" t="str">
        <f t="shared" ref="Q381:Q386" ca="1" si="344">IF(Q$378="","",IF(Q380=Q355,Q356,IF(Q355=$A$378,Q356,Q355)))</f>
        <v>Matt</v>
      </c>
      <c r="R381" t="str">
        <f t="shared" ref="R381:R386" ca="1" si="345">IF(R$378="","",IF(R380=R355,R356,IF(R355=$A$378,R356,R355)))</f>
        <v>Jason</v>
      </c>
    </row>
    <row r="382" spans="1:18" x14ac:dyDescent="0.25">
      <c r="B382" t="str">
        <f t="shared" ca="1" si="328"/>
        <v>Cameron</v>
      </c>
      <c r="C382" t="str">
        <f t="shared" ca="1" si="330"/>
        <v/>
      </c>
      <c r="D382" t="str">
        <f t="shared" ca="1" si="331"/>
        <v/>
      </c>
      <c r="E382" t="str">
        <f t="shared" ca="1" si="332"/>
        <v/>
      </c>
      <c r="F382" t="str">
        <f t="shared" ca="1" si="333"/>
        <v>Cameron</v>
      </c>
      <c r="G382" t="str">
        <f t="shared" ca="1" si="334"/>
        <v>Jason</v>
      </c>
      <c r="H382" t="str">
        <f t="shared" ca="1" si="335"/>
        <v/>
      </c>
      <c r="I382" t="str">
        <f t="shared" ca="1" si="336"/>
        <v/>
      </c>
      <c r="J382" t="str">
        <f t="shared" ca="1" si="337"/>
        <v/>
      </c>
      <c r="K382" t="str">
        <f t="shared" ca="1" si="338"/>
        <v>Jason</v>
      </c>
      <c r="L382" t="str">
        <f t="shared" ca="1" si="339"/>
        <v>Mark</v>
      </c>
      <c r="M382" t="str">
        <f t="shared" ca="1" si="340"/>
        <v/>
      </c>
      <c r="N382" t="str">
        <f t="shared" ca="1" si="341"/>
        <v/>
      </c>
      <c r="O382" t="str">
        <f t="shared" ca="1" si="342"/>
        <v>Jessica</v>
      </c>
      <c r="P382" t="str">
        <f t="shared" ca="1" si="343"/>
        <v>Raven</v>
      </c>
      <c r="Q382" t="str">
        <f t="shared" ca="1" si="344"/>
        <v>Raven</v>
      </c>
      <c r="R382" t="str">
        <f t="shared" ca="1" si="345"/>
        <v>Christmas</v>
      </c>
    </row>
    <row r="383" spans="1:18" x14ac:dyDescent="0.25">
      <c r="B383" t="str">
        <f t="shared" ca="1" si="328"/>
        <v>Alex</v>
      </c>
      <c r="C383" t="str">
        <f t="shared" ca="1" si="330"/>
        <v/>
      </c>
      <c r="D383" t="str">
        <f t="shared" ca="1" si="331"/>
        <v/>
      </c>
      <c r="E383" t="str">
        <f t="shared" ca="1" si="332"/>
        <v/>
      </c>
      <c r="F383" t="str">
        <f t="shared" ca="1" si="333"/>
        <v>Jessica</v>
      </c>
      <c r="G383" t="str">
        <f t="shared" ca="1" si="334"/>
        <v>Cody</v>
      </c>
      <c r="H383" t="str">
        <f t="shared" ca="1" si="335"/>
        <v/>
      </c>
      <c r="I383" t="str">
        <f t="shared" ca="1" si="336"/>
        <v/>
      </c>
      <c r="J383" t="str">
        <f t="shared" ca="1" si="337"/>
        <v/>
      </c>
      <c r="K383" t="str">
        <f t="shared" ca="1" si="338"/>
        <v>Cody</v>
      </c>
      <c r="L383" t="str">
        <f t="shared" ca="1" si="339"/>
        <v>Cody</v>
      </c>
      <c r="M383" t="str">
        <f t="shared" ca="1" si="340"/>
        <v/>
      </c>
      <c r="N383" t="str">
        <f t="shared" ca="1" si="341"/>
        <v/>
      </c>
      <c r="O383" t="str">
        <f t="shared" ca="1" si="342"/>
        <v>Jason</v>
      </c>
      <c r="P383" t="str">
        <f t="shared" ca="1" si="343"/>
        <v>Alex</v>
      </c>
      <c r="Q383" t="str">
        <f t="shared" ca="1" si="344"/>
        <v>Jessica</v>
      </c>
      <c r="R383" t="str">
        <f t="shared" ca="1" si="345"/>
        <v>Jessica</v>
      </c>
    </row>
    <row r="384" spans="1:18" x14ac:dyDescent="0.25">
      <c r="B384" t="str">
        <f t="shared" ca="1" si="328"/>
        <v>Jason</v>
      </c>
      <c r="C384" t="str">
        <f t="shared" ca="1" si="330"/>
        <v/>
      </c>
      <c r="D384" t="str">
        <f t="shared" ca="1" si="331"/>
        <v/>
      </c>
      <c r="E384" t="str">
        <f t="shared" ca="1" si="332"/>
        <v/>
      </c>
      <c r="F384" t="str">
        <f t="shared" ca="1" si="333"/>
        <v>Mark</v>
      </c>
      <c r="G384" t="str">
        <f t="shared" ca="1" si="334"/>
        <v>Matt</v>
      </c>
      <c r="H384" t="str">
        <f t="shared" ca="1" si="335"/>
        <v/>
      </c>
      <c r="I384" t="str">
        <f t="shared" ca="1" si="336"/>
        <v/>
      </c>
      <c r="J384" t="str">
        <f t="shared" ca="1" si="337"/>
        <v/>
      </c>
      <c r="K384" t="str">
        <f t="shared" ca="1" si="338"/>
        <v>Cameron</v>
      </c>
      <c r="L384" t="str">
        <f t="shared" ca="1" si="339"/>
        <v>Raven</v>
      </c>
      <c r="M384" t="str">
        <f t="shared" ca="1" si="340"/>
        <v/>
      </c>
      <c r="N384" t="str">
        <f t="shared" ca="1" si="341"/>
        <v/>
      </c>
      <c r="O384" t="str">
        <f t="shared" ca="1" si="342"/>
        <v>Mark</v>
      </c>
      <c r="P384" t="str">
        <f t="shared" ca="1" si="343"/>
        <v>Jason</v>
      </c>
      <c r="Q384" t="str">
        <f t="shared" ca="1" si="344"/>
        <v>Christmas</v>
      </c>
      <c r="R384" t="str">
        <f t="shared" ca="1" si="345"/>
        <v>Raven</v>
      </c>
    </row>
    <row r="385" spans="1:18" x14ac:dyDescent="0.25">
      <c r="B385" t="str">
        <f t="shared" ca="1" si="328"/>
        <v>Matt</v>
      </c>
      <c r="C385" t="str">
        <f t="shared" ca="1" si="330"/>
        <v/>
      </c>
      <c r="D385" t="str">
        <f t="shared" ca="1" si="331"/>
        <v/>
      </c>
      <c r="E385" t="str">
        <f t="shared" ca="1" si="332"/>
        <v/>
      </c>
      <c r="F385" t="str">
        <f t="shared" ca="1" si="333"/>
        <v>Raven</v>
      </c>
      <c r="G385" t="str">
        <f t="shared" ca="1" si="334"/>
        <v>Cameron</v>
      </c>
      <c r="H385" t="str">
        <f t="shared" ca="1" si="335"/>
        <v/>
      </c>
      <c r="I385" t="str">
        <f t="shared" ca="1" si="336"/>
        <v/>
      </c>
      <c r="J385" t="str">
        <f t="shared" ca="1" si="337"/>
        <v/>
      </c>
      <c r="K385" t="str">
        <f t="shared" ca="1" si="338"/>
        <v>Matt</v>
      </c>
      <c r="L385" t="str">
        <f t="shared" ca="1" si="339"/>
        <v>Christmas</v>
      </c>
      <c r="M385" t="str">
        <f t="shared" ca="1" si="340"/>
        <v/>
      </c>
      <c r="N385" t="str">
        <f t="shared" ca="1" si="341"/>
        <v/>
      </c>
      <c r="O385" t="str">
        <f t="shared" ca="1" si="342"/>
        <v>Alex</v>
      </c>
      <c r="P385" t="str">
        <f t="shared" ca="1" si="343"/>
        <v>Cameron</v>
      </c>
      <c r="Q385" t="str">
        <f t="shared" ca="1" si="344"/>
        <v>Mark</v>
      </c>
      <c r="R385" t="str">
        <f t="shared" ca="1" si="345"/>
        <v>Cody</v>
      </c>
    </row>
    <row r="386" spans="1:18" x14ac:dyDescent="0.25">
      <c r="B386" t="str">
        <f t="shared" ca="1" si="328"/>
        <v>Mark</v>
      </c>
      <c r="C386" t="str">
        <f t="shared" ca="1" si="330"/>
        <v/>
      </c>
      <c r="D386" t="str">
        <f t="shared" ca="1" si="331"/>
        <v/>
      </c>
      <c r="E386" t="str">
        <f t="shared" ca="1" si="332"/>
        <v/>
      </c>
      <c r="F386" t="str">
        <f t="shared" ca="1" si="333"/>
        <v>Alex</v>
      </c>
      <c r="G386" t="str">
        <f t="shared" ca="1" si="334"/>
        <v>Raven</v>
      </c>
      <c r="H386" t="str">
        <f t="shared" ca="1" si="335"/>
        <v/>
      </c>
      <c r="I386" t="str">
        <f t="shared" ca="1" si="336"/>
        <v/>
      </c>
      <c r="J386" t="str">
        <f t="shared" ca="1" si="337"/>
        <v/>
      </c>
      <c r="K386" t="str">
        <f t="shared" ca="1" si="338"/>
        <v>Alex</v>
      </c>
      <c r="L386" t="str">
        <f t="shared" ca="1" si="339"/>
        <v>Cameron</v>
      </c>
      <c r="M386" t="str">
        <f t="shared" ca="1" si="340"/>
        <v/>
      </c>
      <c r="N386" t="str">
        <f t="shared" ca="1" si="341"/>
        <v/>
      </c>
      <c r="O386" t="str">
        <f t="shared" ca="1" si="342"/>
        <v>Christmas</v>
      </c>
      <c r="P386" t="str">
        <f t="shared" ca="1" si="343"/>
        <v>Cody</v>
      </c>
      <c r="Q386" t="str">
        <f t="shared" ca="1" si="344"/>
        <v>Jason</v>
      </c>
      <c r="R386" t="str">
        <f t="shared" ca="1" si="345"/>
        <v>Matt</v>
      </c>
    </row>
    <row r="388" spans="1:18" x14ac:dyDescent="0.25">
      <c r="B388" s="47" t="str">
        <f ca="1">B378</f>
        <v>Raven</v>
      </c>
      <c r="C388" s="47" t="str">
        <f t="shared" ref="C388:R388" ca="1" si="346">C378</f>
        <v/>
      </c>
      <c r="D388" s="47" t="str">
        <f t="shared" ca="1" si="346"/>
        <v/>
      </c>
      <c r="E388" s="47" t="str">
        <f t="shared" ca="1" si="346"/>
        <v/>
      </c>
      <c r="F388" s="47" t="str">
        <f t="shared" ca="1" si="346"/>
        <v>Matt</v>
      </c>
      <c r="G388" s="47" t="str">
        <f t="shared" ca="1" si="346"/>
        <v>Mark</v>
      </c>
      <c r="H388" s="47" t="str">
        <f t="shared" ca="1" si="346"/>
        <v/>
      </c>
      <c r="I388" s="47" t="str">
        <f t="shared" ca="1" si="346"/>
        <v/>
      </c>
      <c r="J388" s="47" t="str">
        <f t="shared" ca="1" si="346"/>
        <v/>
      </c>
      <c r="K388" s="47" t="str">
        <f t="shared" ca="1" si="346"/>
        <v>Jessica</v>
      </c>
      <c r="L388" s="47" t="str">
        <f t="shared" ca="1" si="346"/>
        <v>Jason</v>
      </c>
      <c r="M388" s="47" t="str">
        <f t="shared" ca="1" si="346"/>
        <v/>
      </c>
      <c r="N388" s="47" t="str">
        <f t="shared" ca="1" si="346"/>
        <v/>
      </c>
      <c r="O388" s="47" t="str">
        <f t="shared" ca="1" si="346"/>
        <v>Cody</v>
      </c>
      <c r="P388" s="47" t="str">
        <f t="shared" ca="1" si="346"/>
        <v>Christmas</v>
      </c>
      <c r="Q388" s="47" t="str">
        <f t="shared" ca="1" si="346"/>
        <v>Cameron</v>
      </c>
      <c r="R388" s="47" t="str">
        <f t="shared" ca="1" si="346"/>
        <v>Alex</v>
      </c>
    </row>
    <row r="389" spans="1:18" x14ac:dyDescent="0.25">
      <c r="A389" t="str">
        <f ca="1">Game!H1260</f>
        <v>Jason</v>
      </c>
      <c r="B389" s="13">
        <f t="shared" ref="B389" ca="1" si="347">IF(B388="","",INDEX(B$2:B$18,MATCH($A389,$A$2:$A$18,0)))</f>
        <v>26.449699295094824</v>
      </c>
      <c r="C389" s="13" t="str">
        <f ca="1">IF(C388="","",INDEX(C$2:C$18,MATCH($A389,$A$2:$A$18,0)))</f>
        <v/>
      </c>
      <c r="D389" s="13" t="str">
        <f t="shared" ref="D389:R389" ca="1" si="348">IF(D388="","",INDEX(D$2:D$18,MATCH($A389,$A$2:$A$18,0)))</f>
        <v/>
      </c>
      <c r="E389" s="13" t="str">
        <f t="shared" ca="1" si="348"/>
        <v/>
      </c>
      <c r="F389" s="13">
        <f t="shared" ca="1" si="348"/>
        <v>84.449421673651997</v>
      </c>
      <c r="G389" s="13">
        <f t="shared" ca="1" si="348"/>
        <v>45.249910546888039</v>
      </c>
      <c r="H389" s="13" t="str">
        <f t="shared" ca="1" si="348"/>
        <v/>
      </c>
      <c r="I389" s="13" t="str">
        <f t="shared" ca="1" si="348"/>
        <v/>
      </c>
      <c r="J389" s="13" t="str">
        <f t="shared" ca="1" si="348"/>
        <v/>
      </c>
      <c r="K389" s="13">
        <f t="shared" ca="1" si="348"/>
        <v>51.265613737767033</v>
      </c>
      <c r="L389" s="13">
        <f t="shared" ca="1" si="348"/>
        <v>101</v>
      </c>
      <c r="M389" s="13" t="str">
        <f t="shared" ca="1" si="348"/>
        <v/>
      </c>
      <c r="N389" s="13" t="str">
        <f t="shared" ca="1" si="348"/>
        <v/>
      </c>
      <c r="O389" s="13">
        <f t="shared" ca="1" si="348"/>
        <v>41.238479804029616</v>
      </c>
      <c r="P389" s="13">
        <f t="shared" ca="1" si="348"/>
        <v>22.004949710265894</v>
      </c>
      <c r="Q389" s="13">
        <f t="shared" ca="1" si="348"/>
        <v>15.394165717913744</v>
      </c>
      <c r="R389" s="13">
        <f t="shared" ca="1" si="348"/>
        <v>62.423641384313534</v>
      </c>
    </row>
    <row r="391" spans="1:18" x14ac:dyDescent="0.25">
      <c r="B391" t="str">
        <f ca="1">IF($A$392="","",B388)</f>
        <v>Raven</v>
      </c>
      <c r="C391" t="str">
        <f t="shared" ref="C391:R391" ca="1" si="349">IF($A$392="","",C388)</f>
        <v/>
      </c>
      <c r="D391" t="str">
        <f t="shared" ca="1" si="349"/>
        <v/>
      </c>
      <c r="E391" t="str">
        <f t="shared" ca="1" si="349"/>
        <v/>
      </c>
      <c r="F391" t="str">
        <f t="shared" ca="1" si="349"/>
        <v>Matt</v>
      </c>
      <c r="G391" t="str">
        <f t="shared" ca="1" si="349"/>
        <v>Mark</v>
      </c>
      <c r="H391" t="str">
        <f t="shared" ca="1" si="349"/>
        <v/>
      </c>
      <c r="I391" t="str">
        <f t="shared" ca="1" si="349"/>
        <v/>
      </c>
      <c r="J391" t="str">
        <f t="shared" ca="1" si="349"/>
        <v/>
      </c>
      <c r="K391" t="str">
        <f t="shared" ca="1" si="349"/>
        <v>Jessica</v>
      </c>
      <c r="L391" t="str">
        <f t="shared" ca="1" si="349"/>
        <v>Jason</v>
      </c>
      <c r="M391" t="str">
        <f t="shared" ca="1" si="349"/>
        <v/>
      </c>
      <c r="N391" t="str">
        <f t="shared" ca="1" si="349"/>
        <v/>
      </c>
      <c r="O391" t="str">
        <f t="shared" ca="1" si="349"/>
        <v>Cody</v>
      </c>
      <c r="P391" t="str">
        <f t="shared" ca="1" si="349"/>
        <v>Christmas</v>
      </c>
      <c r="Q391" t="str">
        <f t="shared" ca="1" si="349"/>
        <v>Cameron</v>
      </c>
      <c r="R391" t="str">
        <f t="shared" ca="1" si="349"/>
        <v>Alex</v>
      </c>
    </row>
    <row r="392" spans="1:18" x14ac:dyDescent="0.25">
      <c r="A392" t="str">
        <f ca="1">Game!D1289</f>
        <v>Matt</v>
      </c>
      <c r="B392" s="13">
        <f t="shared" ref="B392:R392" ca="1" si="350">IF(B391="","",INDEX(B$2:B$18,MATCH($A392,$A$2:$A$18,0)))</f>
        <v>16.041606218120869</v>
      </c>
      <c r="C392" s="13" t="str">
        <f t="shared" ca="1" si="350"/>
        <v/>
      </c>
      <c r="D392" s="13" t="str">
        <f t="shared" ca="1" si="350"/>
        <v/>
      </c>
      <c r="E392" s="13" t="str">
        <f t="shared" ca="1" si="350"/>
        <v/>
      </c>
      <c r="F392" s="13">
        <f t="shared" ca="1" si="350"/>
        <v>101</v>
      </c>
      <c r="G392" s="13">
        <f t="shared" ca="1" si="350"/>
        <v>24.202774351677192</v>
      </c>
      <c r="H392" s="13" t="str">
        <f t="shared" ca="1" si="350"/>
        <v/>
      </c>
      <c r="I392" s="13" t="str">
        <f t="shared" ca="1" si="350"/>
        <v/>
      </c>
      <c r="J392" s="13" t="str">
        <f t="shared" ca="1" si="350"/>
        <v/>
      </c>
      <c r="K392" s="13">
        <f t="shared" ca="1" si="350"/>
        <v>43.093973233306507</v>
      </c>
      <c r="L392" s="13">
        <f t="shared" ca="1" si="350"/>
        <v>84.449421673651997</v>
      </c>
      <c r="M392" s="13" t="str">
        <f t="shared" ca="1" si="350"/>
        <v/>
      </c>
      <c r="N392" s="13" t="str">
        <f t="shared" ca="1" si="350"/>
        <v/>
      </c>
      <c r="O392" s="13">
        <f t="shared" ca="1" si="350"/>
        <v>77.161630741743451</v>
      </c>
      <c r="P392" s="13">
        <f t="shared" ca="1" si="350"/>
        <v>85.372246819883017</v>
      </c>
      <c r="Q392" s="13">
        <f t="shared" ca="1" si="350"/>
        <v>68.279130379841646</v>
      </c>
      <c r="R392" s="13">
        <f t="shared" ca="1" si="350"/>
        <v>1.3087948788959189</v>
      </c>
    </row>
    <row r="395" spans="1:18" x14ac:dyDescent="0.25">
      <c r="A395" t="s">
        <v>113</v>
      </c>
      <c r="B395" t="str">
        <f ca="1">Game!F1289</f>
        <v>Cameron</v>
      </c>
      <c r="C395" t="str">
        <f ca="1">Game!F1290</f>
        <v>Christmas</v>
      </c>
    </row>
    <row r="396" spans="1:18" x14ac:dyDescent="0.25">
      <c r="A396">
        <f>A367</f>
        <v>65</v>
      </c>
      <c r="B396" t="str">
        <f ca="1">IF(COUNTIF($B395:$D395,B$1)=0,"",B$1)</f>
        <v/>
      </c>
      <c r="C396" t="str">
        <f t="shared" ref="C396:R396" ca="1" si="351">IF(COUNTIF($B395:$D395,C$1)=0,"",C$1)</f>
        <v/>
      </c>
      <c r="D396" t="str">
        <f t="shared" ca="1" si="351"/>
        <v/>
      </c>
      <c r="E396" t="str">
        <f t="shared" ca="1" si="351"/>
        <v/>
      </c>
      <c r="F396" t="str">
        <f t="shared" ca="1" si="351"/>
        <v/>
      </c>
      <c r="G396" t="str">
        <f t="shared" ca="1" si="351"/>
        <v/>
      </c>
      <c r="H396" t="str">
        <f t="shared" ca="1" si="351"/>
        <v/>
      </c>
      <c r="I396" t="str">
        <f t="shared" ca="1" si="351"/>
        <v/>
      </c>
      <c r="J396" t="str">
        <f t="shared" ca="1" si="351"/>
        <v/>
      </c>
      <c r="K396" t="str">
        <f t="shared" ca="1" si="351"/>
        <v/>
      </c>
      <c r="L396" t="str">
        <f t="shared" ca="1" si="351"/>
        <v/>
      </c>
      <c r="M396" t="str">
        <f t="shared" ca="1" si="351"/>
        <v/>
      </c>
      <c r="N396" t="str">
        <f t="shared" ca="1" si="351"/>
        <v/>
      </c>
      <c r="O396" t="str">
        <f t="shared" ca="1" si="351"/>
        <v/>
      </c>
      <c r="P396" t="str">
        <f t="shared" ca="1" si="351"/>
        <v>Christmas</v>
      </c>
      <c r="Q396" t="str">
        <f t="shared" ca="1" si="351"/>
        <v>Cameron</v>
      </c>
      <c r="R396" t="str">
        <f t="shared" ca="1" si="351"/>
        <v/>
      </c>
    </row>
    <row r="397" spans="1:18" x14ac:dyDescent="0.25">
      <c r="A397" t="str">
        <f ca="1">Game!H1317</f>
        <v>Jason</v>
      </c>
      <c r="B397" t="str">
        <f ca="1">IF(B396="","",INDEX(B$2:B$18,MATCH($A$397,$A$2:$A$18,0)))</f>
        <v/>
      </c>
      <c r="C397" t="str">
        <f t="shared" ref="C397:R397" ca="1" si="352">IF(C396="","",INDEX(C$2:C$18,MATCH($A$397,$A$2:$A$18,0)))</f>
        <v/>
      </c>
      <c r="D397" t="str">
        <f t="shared" ca="1" si="352"/>
        <v/>
      </c>
      <c r="E397" t="str">
        <f t="shared" ca="1" si="352"/>
        <v/>
      </c>
      <c r="F397" t="str">
        <f t="shared" ca="1" si="352"/>
        <v/>
      </c>
      <c r="G397" t="str">
        <f t="shared" ca="1" si="352"/>
        <v/>
      </c>
      <c r="H397" t="str">
        <f t="shared" ca="1" si="352"/>
        <v/>
      </c>
      <c r="I397" t="str">
        <f t="shared" ca="1" si="352"/>
        <v/>
      </c>
      <c r="J397" t="str">
        <f t="shared" ca="1" si="352"/>
        <v/>
      </c>
      <c r="K397" t="str">
        <f t="shared" ca="1" si="352"/>
        <v/>
      </c>
      <c r="L397" t="str">
        <f t="shared" ca="1" si="352"/>
        <v/>
      </c>
      <c r="M397" t="str">
        <f t="shared" ca="1" si="352"/>
        <v/>
      </c>
      <c r="N397" t="str">
        <f t="shared" ca="1" si="352"/>
        <v/>
      </c>
      <c r="O397" t="str">
        <f t="shared" ca="1" si="352"/>
        <v/>
      </c>
      <c r="P397">
        <f t="shared" ca="1" si="352"/>
        <v>22.004949710265894</v>
      </c>
      <c r="Q397">
        <f t="shared" ca="1" si="352"/>
        <v>15.394165717913744</v>
      </c>
      <c r="R397" t="str">
        <f t="shared" ca="1" si="352"/>
        <v/>
      </c>
    </row>
    <row r="398" spans="1:18" x14ac:dyDescent="0.25">
      <c r="A398">
        <f ca="1">LARGE(B397:R397,1)</f>
        <v>22.004949710265894</v>
      </c>
      <c r="B398" t="str">
        <f ca="1">IF(A399=A400,LARGE(B397:R397,2),"")</f>
        <v/>
      </c>
    </row>
    <row r="399" spans="1:18" x14ac:dyDescent="0.25">
      <c r="A399" t="str">
        <f ca="1">IF(A398&lt;=A396-1,IF(D395="","Neither Nominee","Nobody"),INDEX(B396:R396,MATCH(A398,B397:R397,0)))</f>
        <v>Neither Nominee</v>
      </c>
      <c r="B399" t="str">
        <f ca="1">IF(B398&lt;=A396-1,IF(D395="","Neither Nominee","Nobody"),INDEX(B396:R396,MATCH(B398,B397:R397,0)))</f>
        <v/>
      </c>
      <c r="C399" t="str">
        <f ca="1">IF(A399=A400,B399,A399)</f>
        <v>Neither Nominee</v>
      </c>
    </row>
    <row r="400" spans="1:18" x14ac:dyDescent="0.25">
      <c r="A400" t="str">
        <f ca="1">IF(Game!G1287=Game!G1282,Game!H1316,"")</f>
        <v>Cody</v>
      </c>
      <c r="B400" t="str">
        <f ca="1">IF($A$400="","",IF(B396="","",IF(B396=$C$399,"",INDEX(B$2:B$18,MATCH($A$400,$A$2:$A$18,0)))))</f>
        <v/>
      </c>
      <c r="C400" t="str">
        <f t="shared" ref="C400:R400" ca="1" si="353">IF($A$400="","",IF(C396="","",IF(C396=$C$399,"",INDEX(C$2:C$18,MATCH($A$400,$A$2:$A$18,0)))))</f>
        <v/>
      </c>
      <c r="D400" t="str">
        <f t="shared" ca="1" si="353"/>
        <v/>
      </c>
      <c r="E400" t="str">
        <f t="shared" ca="1" si="353"/>
        <v/>
      </c>
      <c r="F400" t="str">
        <f t="shared" ca="1" si="353"/>
        <v/>
      </c>
      <c r="G400" t="str">
        <f t="shared" ca="1" si="353"/>
        <v/>
      </c>
      <c r="H400" t="str">
        <f t="shared" ca="1" si="353"/>
        <v/>
      </c>
      <c r="I400" t="str">
        <f t="shared" ca="1" si="353"/>
        <v/>
      </c>
      <c r="J400" t="str">
        <f t="shared" ca="1" si="353"/>
        <v/>
      </c>
      <c r="K400" t="str">
        <f t="shared" ca="1" si="353"/>
        <v/>
      </c>
      <c r="L400" t="str">
        <f t="shared" ca="1" si="353"/>
        <v/>
      </c>
      <c r="M400" t="str">
        <f t="shared" ca="1" si="353"/>
        <v/>
      </c>
      <c r="N400" t="str">
        <f t="shared" ca="1" si="353"/>
        <v/>
      </c>
      <c r="O400" t="str">
        <f t="shared" ca="1" si="353"/>
        <v/>
      </c>
      <c r="P400">
        <f t="shared" ca="1" si="353"/>
        <v>2.2850546326158266E-2</v>
      </c>
      <c r="Q400">
        <f t="shared" ca="1" si="353"/>
        <v>69.289969172023191</v>
      </c>
      <c r="R400" t="str">
        <f t="shared" ca="1" si="353"/>
        <v/>
      </c>
    </row>
    <row r="401" spans="1:18" x14ac:dyDescent="0.25">
      <c r="A401">
        <f ca="1">IF(A400="","",LARGE(B400:R400,1))</f>
        <v>69.289969172023191</v>
      </c>
    </row>
    <row r="402" spans="1:18" x14ac:dyDescent="0.25">
      <c r="A402" t="str">
        <f ca="1">IF(A400="","",IF(A401&lt;=A396-1,IF(D395="","Neither Nominee","Nobody"),INDEX(B396:R396,MATCH(A401,B400:R400,0))))</f>
        <v>Cameron</v>
      </c>
    </row>
    <row r="404" spans="1:18" x14ac:dyDescent="0.25">
      <c r="A404" s="13"/>
      <c r="B404" s="13" t="str">
        <f ca="1">B388</f>
        <v>Raven</v>
      </c>
      <c r="C404" s="13" t="str">
        <f t="shared" ref="C404:R404" ca="1" si="354">C388</f>
        <v/>
      </c>
      <c r="D404" s="13" t="str">
        <f t="shared" ca="1" si="354"/>
        <v/>
      </c>
      <c r="E404" s="13" t="str">
        <f t="shared" ca="1" si="354"/>
        <v/>
      </c>
      <c r="F404" s="13" t="str">
        <f t="shared" ca="1" si="354"/>
        <v>Matt</v>
      </c>
      <c r="G404" s="13" t="str">
        <f t="shared" ca="1" si="354"/>
        <v>Mark</v>
      </c>
      <c r="H404" s="13" t="str">
        <f t="shared" ca="1" si="354"/>
        <v/>
      </c>
      <c r="I404" s="13" t="str">
        <f t="shared" ca="1" si="354"/>
        <v/>
      </c>
      <c r="J404" s="13" t="str">
        <f t="shared" ca="1" si="354"/>
        <v/>
      </c>
      <c r="K404" s="13" t="str">
        <f t="shared" ca="1" si="354"/>
        <v>Jessica</v>
      </c>
      <c r="L404" s="13" t="str">
        <f t="shared" ca="1" si="354"/>
        <v>Jason</v>
      </c>
      <c r="M404" s="13" t="str">
        <f t="shared" ca="1" si="354"/>
        <v/>
      </c>
      <c r="N404" s="13" t="str">
        <f t="shared" ca="1" si="354"/>
        <v/>
      </c>
      <c r="O404" s="13" t="str">
        <f t="shared" ca="1" si="354"/>
        <v>Cody</v>
      </c>
      <c r="P404" s="13" t="str">
        <f t="shared" ca="1" si="354"/>
        <v>Christmas</v>
      </c>
      <c r="Q404" s="13" t="str">
        <f t="shared" ca="1" si="354"/>
        <v>Cameron</v>
      </c>
      <c r="R404" s="13" t="str">
        <f t="shared" ca="1" si="354"/>
        <v>Alex</v>
      </c>
    </row>
    <row r="405" spans="1:18" x14ac:dyDescent="0.25">
      <c r="A405" s="13" t="str">
        <f ca="1">Game!G1329</f>
        <v>Raven</v>
      </c>
      <c r="B405">
        <f t="shared" ref="B405" ca="1" si="355">IF(B404="","",INDEX(B$2:B$18,MATCH($A405,$A$2:$A$18,0)))</f>
        <v>101</v>
      </c>
      <c r="C405" t="str">
        <f ca="1">IF(C404="","",INDEX(C$2:C$18,MATCH($A405,$A$2:$A$18,0)))</f>
        <v/>
      </c>
      <c r="D405" t="str">
        <f t="shared" ref="D405:R405" ca="1" si="356">IF(D404="","",INDEX(D$2:D$18,MATCH($A405,$A$2:$A$18,0)))</f>
        <v/>
      </c>
      <c r="E405" t="str">
        <f t="shared" ca="1" si="356"/>
        <v/>
      </c>
      <c r="F405">
        <f t="shared" ca="1" si="356"/>
        <v>16.041606218120869</v>
      </c>
      <c r="G405">
        <f t="shared" ca="1" si="356"/>
        <v>14.404075662040396</v>
      </c>
      <c r="H405" t="str">
        <f t="shared" ca="1" si="356"/>
        <v/>
      </c>
      <c r="I405" t="str">
        <f t="shared" ca="1" si="356"/>
        <v/>
      </c>
      <c r="J405" t="str">
        <f t="shared" ca="1" si="356"/>
        <v/>
      </c>
      <c r="K405">
        <f t="shared" ca="1" si="356"/>
        <v>82.335943293871836</v>
      </c>
      <c r="L405">
        <f t="shared" ca="1" si="356"/>
        <v>26.449699295094824</v>
      </c>
      <c r="M405" t="str">
        <f t="shared" ca="1" si="356"/>
        <v/>
      </c>
      <c r="N405" t="str">
        <f t="shared" ca="1" si="356"/>
        <v/>
      </c>
      <c r="O405">
        <f t="shared" ca="1" si="356"/>
        <v>73.03778757742748</v>
      </c>
      <c r="P405">
        <f t="shared" ca="1" si="356"/>
        <v>49.206725336114673</v>
      </c>
      <c r="Q405">
        <f t="shared" ca="1" si="356"/>
        <v>47.409368445659858</v>
      </c>
      <c r="R405">
        <f t="shared" ca="1" si="356"/>
        <v>27.072683409527087</v>
      </c>
    </row>
    <row r="406" spans="1:18" x14ac:dyDescent="0.25">
      <c r="A406" s="13" t="str">
        <f ca="1">Game!G1330</f>
        <v>Christmas</v>
      </c>
      <c r="B406">
        <f t="shared" ref="B406:R406" ca="1" si="357">IF(B405="","",INDEX(B$2:B$18,MATCH($A406,$A$2:$A$18,0)))</f>
        <v>49.206725336114673</v>
      </c>
      <c r="C406" t="str">
        <f t="shared" ca="1" si="357"/>
        <v/>
      </c>
      <c r="D406" t="str">
        <f t="shared" ca="1" si="357"/>
        <v/>
      </c>
      <c r="E406" t="str">
        <f t="shared" ca="1" si="357"/>
        <v/>
      </c>
      <c r="F406">
        <f t="shared" ca="1" si="357"/>
        <v>85.372246819883017</v>
      </c>
      <c r="G406">
        <f t="shared" ca="1" si="357"/>
        <v>72.406235089083978</v>
      </c>
      <c r="H406" t="str">
        <f t="shared" ca="1" si="357"/>
        <v/>
      </c>
      <c r="I406" t="str">
        <f t="shared" ca="1" si="357"/>
        <v/>
      </c>
      <c r="J406" t="str">
        <f t="shared" ca="1" si="357"/>
        <v/>
      </c>
      <c r="K406">
        <f t="shared" ca="1" si="357"/>
        <v>68.240859442058181</v>
      </c>
      <c r="L406">
        <f t="shared" ca="1" si="357"/>
        <v>22.004949710265894</v>
      </c>
      <c r="M406" t="str">
        <f t="shared" ca="1" si="357"/>
        <v/>
      </c>
      <c r="N406" t="str">
        <f t="shared" ca="1" si="357"/>
        <v/>
      </c>
      <c r="O406">
        <f t="shared" ca="1" si="357"/>
        <v>2.2850546326158266E-2</v>
      </c>
      <c r="P406">
        <f t="shared" ca="1" si="357"/>
        <v>101</v>
      </c>
      <c r="Q406">
        <f t="shared" ca="1" si="357"/>
        <v>19.010344079183941</v>
      </c>
      <c r="R406">
        <f t="shared" ca="1" si="357"/>
        <v>39.09271954602108</v>
      </c>
    </row>
    <row r="407" spans="1:18" x14ac:dyDescent="0.25">
      <c r="B407" t="str">
        <f ca="1">IF(B404="","",INDEX(A405:A406,MATCH(SMALL(B405:B406,1),B405:B406,0)))</f>
        <v>Christmas</v>
      </c>
      <c r="C407" t="str">
        <f ca="1">IF(C404="","",INDEX($A405:$A406,MATCH(SMALL(C405:C406,1),C405:C406,0)))</f>
        <v/>
      </c>
      <c r="D407" t="str">
        <f t="shared" ref="D407:R407" ca="1" si="358">IF(D404="","",INDEX($A405:$A406,MATCH(SMALL(D405:D406,1),D405:D406,0)))</f>
        <v/>
      </c>
      <c r="E407" t="str">
        <f t="shared" ca="1" si="358"/>
        <v/>
      </c>
      <c r="F407" t="str">
        <f t="shared" ca="1" si="358"/>
        <v>Raven</v>
      </c>
      <c r="G407" t="str">
        <f t="shared" ca="1" si="358"/>
        <v>Raven</v>
      </c>
      <c r="H407" t="str">
        <f t="shared" ca="1" si="358"/>
        <v/>
      </c>
      <c r="I407" t="str">
        <f t="shared" ca="1" si="358"/>
        <v/>
      </c>
      <c r="J407" t="str">
        <f t="shared" ca="1" si="358"/>
        <v/>
      </c>
      <c r="K407" t="str">
        <f t="shared" ca="1" si="358"/>
        <v>Christmas</v>
      </c>
      <c r="L407" t="str">
        <f t="shared" ca="1" si="358"/>
        <v>Christmas</v>
      </c>
      <c r="M407" t="str">
        <f t="shared" ca="1" si="358"/>
        <v/>
      </c>
      <c r="N407" t="str">
        <f t="shared" ca="1" si="358"/>
        <v/>
      </c>
      <c r="O407" t="str">
        <f t="shared" ca="1" si="358"/>
        <v>Christmas</v>
      </c>
      <c r="P407" t="str">
        <f t="shared" ca="1" si="358"/>
        <v>Raven</v>
      </c>
      <c r="Q407" t="str">
        <f t="shared" ca="1" si="358"/>
        <v>Christmas</v>
      </c>
      <c r="R407" t="str">
        <f t="shared" ca="1" si="358"/>
        <v>Raven</v>
      </c>
    </row>
    <row r="409" spans="1:18" x14ac:dyDescent="0.25">
      <c r="A409" t="str">
        <f ca="1">Game!G1350</f>
        <v>Christmas</v>
      </c>
      <c r="B409" t="str">
        <f ca="1">IF(B404=$A409,"",B404)</f>
        <v>Raven</v>
      </c>
      <c r="C409" t="str">
        <f t="shared" ref="C409:R409" ca="1" si="359">IF(C404=$A409,"",C404)</f>
        <v/>
      </c>
      <c r="D409" t="str">
        <f t="shared" ca="1" si="359"/>
        <v/>
      </c>
      <c r="E409" t="str">
        <f t="shared" ca="1" si="359"/>
        <v/>
      </c>
      <c r="F409" t="str">
        <f t="shared" ca="1" si="359"/>
        <v>Matt</v>
      </c>
      <c r="G409" t="str">
        <f t="shared" ca="1" si="359"/>
        <v>Mark</v>
      </c>
      <c r="H409" t="str">
        <f t="shared" ca="1" si="359"/>
        <v/>
      </c>
      <c r="I409" t="str">
        <f t="shared" ca="1" si="359"/>
        <v/>
      </c>
      <c r="J409" t="str">
        <f t="shared" ca="1" si="359"/>
        <v/>
      </c>
      <c r="K409" t="str">
        <f t="shared" ca="1" si="359"/>
        <v>Jessica</v>
      </c>
      <c r="L409" t="str">
        <f t="shared" ca="1" si="359"/>
        <v>Jason</v>
      </c>
      <c r="M409" t="str">
        <f t="shared" ca="1" si="359"/>
        <v/>
      </c>
      <c r="N409" t="str">
        <f t="shared" ca="1" si="359"/>
        <v/>
      </c>
      <c r="O409" t="str">
        <f t="shared" ca="1" si="359"/>
        <v>Cody</v>
      </c>
      <c r="P409" t="str">
        <f t="shared" ca="1" si="359"/>
        <v/>
      </c>
      <c r="Q409" t="str">
        <f t="shared" ca="1" si="359"/>
        <v>Cameron</v>
      </c>
      <c r="R409" t="str">
        <f t="shared" ca="1" si="359"/>
        <v>Alex</v>
      </c>
    </row>
    <row r="410" spans="1:18" x14ac:dyDescent="0.25">
      <c r="A410" t="str">
        <f ca="1">Game!H1376</f>
        <v>Raven</v>
      </c>
      <c r="B410" s="13">
        <f ca="1">IF(B409="","",INDEX(B$2:B$18,MATCH($A410,$A$2:$A$18,0)))</f>
        <v>101</v>
      </c>
      <c r="C410" s="13" t="str">
        <f t="shared" ref="C410:R410" ca="1" si="360">IF(C409="","",INDEX(C$2:C$18,MATCH($A410,$A$2:$A$18,0)))</f>
        <v/>
      </c>
      <c r="D410" s="13" t="str">
        <f t="shared" ca="1" si="360"/>
        <v/>
      </c>
      <c r="E410" s="13" t="str">
        <f t="shared" ca="1" si="360"/>
        <v/>
      </c>
      <c r="F410" s="13">
        <f t="shared" ca="1" si="360"/>
        <v>16.041606218120869</v>
      </c>
      <c r="G410" s="13">
        <f t="shared" ca="1" si="360"/>
        <v>14.404075662040396</v>
      </c>
      <c r="H410" s="13" t="str">
        <f t="shared" ca="1" si="360"/>
        <v/>
      </c>
      <c r="I410" s="13" t="str">
        <f t="shared" ca="1" si="360"/>
        <v/>
      </c>
      <c r="J410" s="13" t="str">
        <f t="shared" ca="1" si="360"/>
        <v/>
      </c>
      <c r="K410" s="13">
        <f t="shared" ca="1" si="360"/>
        <v>82.335943293871836</v>
      </c>
      <c r="L410" s="13">
        <f t="shared" ca="1" si="360"/>
        <v>26.449699295094824</v>
      </c>
      <c r="M410" s="13" t="str">
        <f t="shared" ca="1" si="360"/>
        <v/>
      </c>
      <c r="N410" s="13" t="str">
        <f t="shared" ca="1" si="360"/>
        <v/>
      </c>
      <c r="O410" s="13">
        <f t="shared" ca="1" si="360"/>
        <v>73.03778757742748</v>
      </c>
      <c r="P410" s="13" t="str">
        <f t="shared" ca="1" si="360"/>
        <v/>
      </c>
      <c r="Q410" s="13">
        <f t="shared" ca="1" si="360"/>
        <v>47.409368445659858</v>
      </c>
      <c r="R410" s="13">
        <f t="shared" ca="1" si="360"/>
        <v>27.072683409527087</v>
      </c>
    </row>
    <row r="412" spans="1:18" x14ac:dyDescent="0.25">
      <c r="A412" t="s">
        <v>113</v>
      </c>
      <c r="B412" t="str">
        <f ca="1">Game!H1419</f>
        <v>Mark</v>
      </c>
      <c r="C412" t="str">
        <f ca="1">Game!I1419</f>
        <v>Matt</v>
      </c>
    </row>
    <row r="413" spans="1:18" x14ac:dyDescent="0.25">
      <c r="A413">
        <f>A396</f>
        <v>65</v>
      </c>
      <c r="B413" t="str">
        <f ca="1">IF(COUNTIF($B412:$D412,B$1)=0,"",B$1)</f>
        <v/>
      </c>
      <c r="C413" t="str">
        <f t="shared" ref="C413:R413" ca="1" si="361">IF(COUNTIF($B412:$D412,C$1)=0,"",C$1)</f>
        <v/>
      </c>
      <c r="D413" t="str">
        <f t="shared" ca="1" si="361"/>
        <v/>
      </c>
      <c r="E413" t="str">
        <f t="shared" ca="1" si="361"/>
        <v/>
      </c>
      <c r="F413" t="str">
        <f t="shared" ca="1" si="361"/>
        <v>Matt</v>
      </c>
      <c r="G413" t="str">
        <f t="shared" ca="1" si="361"/>
        <v>Mark</v>
      </c>
      <c r="H413" t="str">
        <f t="shared" ca="1" si="361"/>
        <v/>
      </c>
      <c r="I413" t="str">
        <f t="shared" ca="1" si="361"/>
        <v/>
      </c>
      <c r="J413" t="str">
        <f t="shared" ca="1" si="361"/>
        <v/>
      </c>
      <c r="K413" t="str">
        <f t="shared" ca="1" si="361"/>
        <v/>
      </c>
      <c r="L413" t="str">
        <f t="shared" ca="1" si="361"/>
        <v/>
      </c>
      <c r="M413" t="str">
        <f t="shared" ca="1" si="361"/>
        <v/>
      </c>
      <c r="N413" t="str">
        <f t="shared" ca="1" si="361"/>
        <v/>
      </c>
      <c r="O413" t="str">
        <f t="shared" ca="1" si="361"/>
        <v/>
      </c>
      <c r="P413" t="str">
        <f t="shared" ca="1" si="361"/>
        <v/>
      </c>
      <c r="Q413" t="str">
        <f t="shared" ca="1" si="361"/>
        <v/>
      </c>
      <c r="R413" t="str">
        <f t="shared" ca="1" si="361"/>
        <v/>
      </c>
    </row>
    <row r="414" spans="1:18" x14ac:dyDescent="0.25">
      <c r="A414" t="str">
        <f ca="1">Game!H1429</f>
        <v>Raven</v>
      </c>
      <c r="B414" t="str">
        <f ca="1">IF(B413="","",INDEX(B$2:B$18,MATCH($A$414,$A$2:$A$18,0)))</f>
        <v/>
      </c>
      <c r="C414" t="str">
        <f t="shared" ref="C414:R414" ca="1" si="362">IF(C413="","",INDEX(C$2:C$18,MATCH($A$414,$A$2:$A$18,0)))</f>
        <v/>
      </c>
      <c r="D414" t="str">
        <f t="shared" ca="1" si="362"/>
        <v/>
      </c>
      <c r="E414" t="str">
        <f t="shared" ca="1" si="362"/>
        <v/>
      </c>
      <c r="F414">
        <f t="shared" ca="1" si="362"/>
        <v>16.041606218120869</v>
      </c>
      <c r="G414">
        <f t="shared" ca="1" si="362"/>
        <v>14.404075662040396</v>
      </c>
      <c r="H414" t="str">
        <f t="shared" ca="1" si="362"/>
        <v/>
      </c>
      <c r="I414" t="str">
        <f t="shared" ca="1" si="362"/>
        <v/>
      </c>
      <c r="J414" t="str">
        <f t="shared" ca="1" si="362"/>
        <v/>
      </c>
      <c r="K414" t="str">
        <f t="shared" ca="1" si="362"/>
        <v/>
      </c>
      <c r="L414" t="str">
        <f t="shared" ca="1" si="362"/>
        <v/>
      </c>
      <c r="M414" t="str">
        <f t="shared" ca="1" si="362"/>
        <v/>
      </c>
      <c r="N414" t="str">
        <f t="shared" ca="1" si="362"/>
        <v/>
      </c>
      <c r="O414" t="str">
        <f t="shared" ca="1" si="362"/>
        <v/>
      </c>
      <c r="P414" t="str">
        <f t="shared" ca="1" si="362"/>
        <v/>
      </c>
      <c r="Q414" t="str">
        <f t="shared" ca="1" si="362"/>
        <v/>
      </c>
      <c r="R414" t="str">
        <f t="shared" ca="1" si="362"/>
        <v/>
      </c>
    </row>
    <row r="415" spans="1:18" x14ac:dyDescent="0.25">
      <c r="A415">
        <f ca="1">LARGE(B414:R414,1)</f>
        <v>16.041606218120869</v>
      </c>
      <c r="B415" t="str">
        <f ca="1">IF(A416=A417,LARGE(B414:R414,2),"")</f>
        <v/>
      </c>
    </row>
    <row r="416" spans="1:18" x14ac:dyDescent="0.25">
      <c r="A416" t="str">
        <f ca="1">IF(A415&lt;=A413-1,IF(D412="","Neither Nominee","Nobody"),INDEX(B413:R413,MATCH(A415,B414:R414,0)))</f>
        <v>Neither Nominee</v>
      </c>
      <c r="B416" t="str">
        <f ca="1">IF(B415&lt;=A413-1,IF(D412="","Neither Nominee","Nobody"),INDEX(B413:R413,MATCH(B415,B414:R414,0)))</f>
        <v/>
      </c>
      <c r="C416" t="str">
        <f ca="1">IF(A416=A417,B416,A416)</f>
        <v>Neither Nominee</v>
      </c>
    </row>
    <row r="417" spans="1:18" x14ac:dyDescent="0.25">
      <c r="A417" t="str">
        <f ca="1">Game!D1435</f>
        <v/>
      </c>
      <c r="B417" t="str">
        <f ca="1">IF($A$417="","",IF(B413="","",IF(B413=$C$416,"",INDEX(B$2:B$18,MATCH($A$417,$A$2:$A$18,0)))))</f>
        <v/>
      </c>
      <c r="C417" t="str">
        <f t="shared" ref="C417:R417" ca="1" si="363">IF($A$417="","",IF(C413="","",IF(C413=$C$416,"",INDEX(C$2:C$18,MATCH($A$417,$A$2:$A$18,0)))))</f>
        <v/>
      </c>
      <c r="D417" t="str">
        <f t="shared" ca="1" si="363"/>
        <v/>
      </c>
      <c r="E417" t="str">
        <f t="shared" ca="1" si="363"/>
        <v/>
      </c>
      <c r="F417" t="str">
        <f t="shared" ca="1" si="363"/>
        <v/>
      </c>
      <c r="G417" t="str">
        <f t="shared" ca="1" si="363"/>
        <v/>
      </c>
      <c r="H417" t="str">
        <f t="shared" ca="1" si="363"/>
        <v/>
      </c>
      <c r="I417" t="str">
        <f t="shared" ca="1" si="363"/>
        <v/>
      </c>
      <c r="J417" t="str">
        <f t="shared" ca="1" si="363"/>
        <v/>
      </c>
      <c r="K417" t="str">
        <f t="shared" ca="1" si="363"/>
        <v/>
      </c>
      <c r="L417" t="str">
        <f t="shared" ca="1" si="363"/>
        <v/>
      </c>
      <c r="M417" t="str">
        <f t="shared" ca="1" si="363"/>
        <v/>
      </c>
      <c r="N417" t="str">
        <f t="shared" ca="1" si="363"/>
        <v/>
      </c>
      <c r="O417" t="str">
        <f t="shared" ca="1" si="363"/>
        <v/>
      </c>
      <c r="P417" t="str">
        <f t="shared" ca="1" si="363"/>
        <v/>
      </c>
      <c r="Q417" t="str">
        <f t="shared" ca="1" si="363"/>
        <v/>
      </c>
      <c r="R417" t="str">
        <f t="shared" ca="1" si="363"/>
        <v/>
      </c>
    </row>
    <row r="418" spans="1:18" x14ac:dyDescent="0.25">
      <c r="A418" t="str">
        <f ca="1">IF(A417="","",LARGE(B417:R417,1))</f>
        <v/>
      </c>
    </row>
    <row r="419" spans="1:18" x14ac:dyDescent="0.25">
      <c r="A419" t="str">
        <f ca="1">IF(A417="","",IF(A418&lt;=A413-1,IF(D412="","Neither Nominee","Nobody"),INDEX(B413:R413,MATCH(A418,B417:R417,0))))</f>
        <v/>
      </c>
    </row>
    <row r="421" spans="1:18" x14ac:dyDescent="0.25">
      <c r="B421" t="str">
        <f ca="1">B409</f>
        <v>Raven</v>
      </c>
      <c r="C421" t="str">
        <f t="shared" ref="C421:R421" ca="1" si="364">C409</f>
        <v/>
      </c>
      <c r="D421" t="str">
        <f t="shared" ca="1" si="364"/>
        <v/>
      </c>
      <c r="E421" t="str">
        <f t="shared" ca="1" si="364"/>
        <v/>
      </c>
      <c r="F421" t="str">
        <f t="shared" ca="1" si="364"/>
        <v>Matt</v>
      </c>
      <c r="G421" t="str">
        <f t="shared" ca="1" si="364"/>
        <v>Mark</v>
      </c>
      <c r="H421" t="str">
        <f t="shared" ca="1" si="364"/>
        <v/>
      </c>
      <c r="I421" t="str">
        <f t="shared" ca="1" si="364"/>
        <v/>
      </c>
      <c r="J421" t="str">
        <f t="shared" ca="1" si="364"/>
        <v/>
      </c>
      <c r="K421" t="str">
        <f t="shared" ca="1" si="364"/>
        <v>Jessica</v>
      </c>
      <c r="L421" t="str">
        <f t="shared" ca="1" si="364"/>
        <v>Jason</v>
      </c>
      <c r="M421" t="str">
        <f t="shared" ca="1" si="364"/>
        <v/>
      </c>
      <c r="N421" t="str">
        <f t="shared" ca="1" si="364"/>
        <v/>
      </c>
      <c r="O421" t="str">
        <f t="shared" ca="1" si="364"/>
        <v>Cody</v>
      </c>
      <c r="P421" t="str">
        <f t="shared" ca="1" si="364"/>
        <v/>
      </c>
      <c r="Q421" t="str">
        <f t="shared" ca="1" si="364"/>
        <v>Cameron</v>
      </c>
      <c r="R421" t="str">
        <f t="shared" ca="1" si="364"/>
        <v>Alex</v>
      </c>
    </row>
    <row r="422" spans="1:18" x14ac:dyDescent="0.25">
      <c r="A422" t="str">
        <f ca="1">Game!G1441</f>
        <v>Mark</v>
      </c>
      <c r="B422">
        <f t="shared" ref="B422" ca="1" si="365">IF(B421="","",INDEX(B$2:B$18,MATCH($A422,$A$2:$A$18,0)))</f>
        <v>14.404075662040396</v>
      </c>
      <c r="C422" t="str">
        <f ca="1">IF(C421="","",INDEX(C$2:C$18,MATCH($A422,$A$2:$A$18,0)))</f>
        <v/>
      </c>
      <c r="D422" t="str">
        <f t="shared" ref="D422:R422" ca="1" si="366">IF(D421="","",INDEX(D$2:D$18,MATCH($A422,$A$2:$A$18,0)))</f>
        <v/>
      </c>
      <c r="E422" t="str">
        <f t="shared" ca="1" si="366"/>
        <v/>
      </c>
      <c r="F422">
        <f t="shared" ca="1" si="366"/>
        <v>24.202774351677192</v>
      </c>
      <c r="G422">
        <f t="shared" ca="1" si="366"/>
        <v>101</v>
      </c>
      <c r="H422" t="str">
        <f t="shared" ca="1" si="366"/>
        <v/>
      </c>
      <c r="I422" t="str">
        <f t="shared" ca="1" si="366"/>
        <v/>
      </c>
      <c r="J422" t="str">
        <f t="shared" ca="1" si="366"/>
        <v/>
      </c>
      <c r="K422">
        <f t="shared" ca="1" si="366"/>
        <v>59.282946937072587</v>
      </c>
      <c r="L422">
        <f t="shared" ca="1" si="366"/>
        <v>45.249910546888039</v>
      </c>
      <c r="M422" t="str">
        <f t="shared" ca="1" si="366"/>
        <v/>
      </c>
      <c r="N422" t="str">
        <f t="shared" ca="1" si="366"/>
        <v/>
      </c>
      <c r="O422">
        <f t="shared" ca="1" si="366"/>
        <v>24.230698123089187</v>
      </c>
      <c r="P422" t="str">
        <f t="shared" ca="1" si="366"/>
        <v/>
      </c>
      <c r="Q422">
        <f t="shared" ca="1" si="366"/>
        <v>17.366447548995119</v>
      </c>
      <c r="R422">
        <f t="shared" ca="1" si="366"/>
        <v>76.31237136960803</v>
      </c>
    </row>
    <row r="423" spans="1:18" x14ac:dyDescent="0.25">
      <c r="A423" t="str">
        <f ca="1">Game!G1442</f>
        <v>Matt</v>
      </c>
      <c r="B423">
        <f t="shared" ref="B423:R423" ca="1" si="367">IF(B422="","",INDEX(B$2:B$18,MATCH($A423,$A$2:$A$18,0)))</f>
        <v>16.041606218120869</v>
      </c>
      <c r="C423" t="str">
        <f t="shared" ca="1" si="367"/>
        <v/>
      </c>
      <c r="D423" t="str">
        <f t="shared" ca="1" si="367"/>
        <v/>
      </c>
      <c r="E423" t="str">
        <f t="shared" ca="1" si="367"/>
        <v/>
      </c>
      <c r="F423">
        <f t="shared" ca="1" si="367"/>
        <v>101</v>
      </c>
      <c r="G423">
        <f t="shared" ca="1" si="367"/>
        <v>24.202774351677192</v>
      </c>
      <c r="H423" t="str">
        <f t="shared" ca="1" si="367"/>
        <v/>
      </c>
      <c r="I423" t="str">
        <f t="shared" ca="1" si="367"/>
        <v/>
      </c>
      <c r="J423" t="str">
        <f t="shared" ca="1" si="367"/>
        <v/>
      </c>
      <c r="K423">
        <f t="shared" ca="1" si="367"/>
        <v>43.093973233306507</v>
      </c>
      <c r="L423">
        <f t="shared" ca="1" si="367"/>
        <v>84.449421673651997</v>
      </c>
      <c r="M423" t="str">
        <f t="shared" ca="1" si="367"/>
        <v/>
      </c>
      <c r="N423" t="str">
        <f t="shared" ca="1" si="367"/>
        <v/>
      </c>
      <c r="O423">
        <f t="shared" ca="1" si="367"/>
        <v>77.161630741743451</v>
      </c>
      <c r="P423" t="str">
        <f t="shared" ca="1" si="367"/>
        <v/>
      </c>
      <c r="Q423">
        <f t="shared" ca="1" si="367"/>
        <v>68.279130379841646</v>
      </c>
      <c r="R423">
        <f t="shared" ca="1" si="367"/>
        <v>1.3087948788959189</v>
      </c>
    </row>
    <row r="424" spans="1:18" x14ac:dyDescent="0.25">
      <c r="B424" t="str">
        <f ca="1">IF(B421="","",INDEX(A422:A423,MATCH(SMALL(B422:B423,1),B422:B423,0)))</f>
        <v>Mark</v>
      </c>
      <c r="C424" t="str">
        <f ca="1">IF(C421="","",INDEX($A422:$A423,MATCH(SMALL(C422:C423,1),C422:C423,0)))</f>
        <v/>
      </c>
      <c r="D424" t="str">
        <f t="shared" ref="D424:R424" ca="1" si="368">IF(D421="","",INDEX($A422:$A423,MATCH(SMALL(D422:D423,1),D422:D423,0)))</f>
        <v/>
      </c>
      <c r="E424" t="str">
        <f t="shared" ca="1" si="368"/>
        <v/>
      </c>
      <c r="F424" t="str">
        <f t="shared" ca="1" si="368"/>
        <v>Mark</v>
      </c>
      <c r="G424" t="str">
        <f t="shared" ca="1" si="368"/>
        <v>Matt</v>
      </c>
      <c r="H424" t="str">
        <f t="shared" ca="1" si="368"/>
        <v/>
      </c>
      <c r="I424" t="str">
        <f t="shared" ca="1" si="368"/>
        <v/>
      </c>
      <c r="J424" t="str">
        <f t="shared" ca="1" si="368"/>
        <v/>
      </c>
      <c r="K424" t="str">
        <f t="shared" ca="1" si="368"/>
        <v>Matt</v>
      </c>
      <c r="L424" t="str">
        <f t="shared" ca="1" si="368"/>
        <v>Mark</v>
      </c>
      <c r="M424" t="str">
        <f t="shared" ca="1" si="368"/>
        <v/>
      </c>
      <c r="N424" t="str">
        <f t="shared" ca="1" si="368"/>
        <v/>
      </c>
      <c r="O424" t="str">
        <f t="shared" ca="1" si="368"/>
        <v>Mark</v>
      </c>
      <c r="P424" t="str">
        <f t="shared" ca="1" si="368"/>
        <v/>
      </c>
      <c r="Q424" t="str">
        <f t="shared" ca="1" si="368"/>
        <v>Mark</v>
      </c>
      <c r="R424" t="str">
        <f t="shared" ca="1" si="368"/>
        <v>Matt</v>
      </c>
    </row>
    <row r="426" spans="1:18" x14ac:dyDescent="0.25">
      <c r="A426" t="str">
        <f ca="1">Game!G1462</f>
        <v>Mark</v>
      </c>
      <c r="B426" t="str">
        <f ca="1">IF(B421=$A$426,"",B421)</f>
        <v>Raven</v>
      </c>
      <c r="C426" t="str">
        <f t="shared" ref="C426:R426" ca="1" si="369">IF(C421=$A$426,"",C421)</f>
        <v/>
      </c>
      <c r="D426" t="str">
        <f t="shared" ca="1" si="369"/>
        <v/>
      </c>
      <c r="E426" t="str">
        <f t="shared" ca="1" si="369"/>
        <v/>
      </c>
      <c r="F426" t="str">
        <f t="shared" ca="1" si="369"/>
        <v>Matt</v>
      </c>
      <c r="G426" t="str">
        <f t="shared" ca="1" si="369"/>
        <v/>
      </c>
      <c r="H426" t="str">
        <f t="shared" ca="1" si="369"/>
        <v/>
      </c>
      <c r="I426" t="str">
        <f t="shared" ca="1" si="369"/>
        <v/>
      </c>
      <c r="J426" t="str">
        <f t="shared" ca="1" si="369"/>
        <v/>
      </c>
      <c r="K426" t="str">
        <f t="shared" ca="1" si="369"/>
        <v>Jessica</v>
      </c>
      <c r="L426" t="str">
        <f t="shared" ca="1" si="369"/>
        <v>Jason</v>
      </c>
      <c r="M426" t="str">
        <f t="shared" ca="1" si="369"/>
        <v/>
      </c>
      <c r="N426" t="str">
        <f t="shared" ca="1" si="369"/>
        <v/>
      </c>
      <c r="O426" t="str">
        <f t="shared" ca="1" si="369"/>
        <v>Cody</v>
      </c>
      <c r="P426" t="str">
        <f t="shared" ca="1" si="369"/>
        <v/>
      </c>
      <c r="Q426" t="str">
        <f t="shared" ca="1" si="369"/>
        <v>Cameron</v>
      </c>
      <c r="R426" t="str">
        <f t="shared" ca="1" si="369"/>
        <v>Alex</v>
      </c>
    </row>
    <row r="427" spans="1:18" x14ac:dyDescent="0.25">
      <c r="A427" t="str">
        <f ca="1">Game!H1487</f>
        <v>Cody</v>
      </c>
      <c r="B427" s="13">
        <f ca="1">IF(B426="","",INDEX(B$2:B$18,MATCH($A427,$A$2:$A$18,0)))</f>
        <v>73.03778757742748</v>
      </c>
      <c r="C427" s="13" t="str">
        <f t="shared" ref="C427:R427" ca="1" si="370">IF(C426="","",INDEX(C$2:C$18,MATCH($A427,$A$2:$A$18,0)))</f>
        <v/>
      </c>
      <c r="D427" s="13" t="str">
        <f t="shared" ca="1" si="370"/>
        <v/>
      </c>
      <c r="E427" s="13" t="str">
        <f t="shared" ca="1" si="370"/>
        <v/>
      </c>
      <c r="F427" s="13">
        <f t="shared" ca="1" si="370"/>
        <v>77.161630741743451</v>
      </c>
      <c r="G427" s="13" t="str">
        <f t="shared" ca="1" si="370"/>
        <v/>
      </c>
      <c r="H427" s="13" t="str">
        <f t="shared" ca="1" si="370"/>
        <v/>
      </c>
      <c r="I427" s="13" t="str">
        <f t="shared" ca="1" si="370"/>
        <v/>
      </c>
      <c r="J427" s="13" t="str">
        <f t="shared" ca="1" si="370"/>
        <v/>
      </c>
      <c r="K427" s="13">
        <f t="shared" ca="1" si="370"/>
        <v>46.28551811425136</v>
      </c>
      <c r="L427" s="13">
        <f t="shared" ca="1" si="370"/>
        <v>41.238479804029616</v>
      </c>
      <c r="M427" s="13" t="str">
        <f t="shared" ca="1" si="370"/>
        <v/>
      </c>
      <c r="N427" s="13" t="str">
        <f t="shared" ca="1" si="370"/>
        <v/>
      </c>
      <c r="O427" s="13">
        <f t="shared" ca="1" si="370"/>
        <v>101</v>
      </c>
      <c r="P427" s="13" t="str">
        <f t="shared" ca="1" si="370"/>
        <v/>
      </c>
      <c r="Q427" s="13">
        <f t="shared" ca="1" si="370"/>
        <v>69.289969172023191</v>
      </c>
      <c r="R427" s="13">
        <f t="shared" ca="1" si="370"/>
        <v>23.434421387666173</v>
      </c>
    </row>
    <row r="429" spans="1:18" x14ac:dyDescent="0.25">
      <c r="A429" t="s">
        <v>113</v>
      </c>
      <c r="B429" t="str">
        <f ca="1">Game!F1511</f>
        <v>Alex</v>
      </c>
      <c r="C429" t="str">
        <f ca="1">Game!F1512</f>
        <v>Jason</v>
      </c>
    </row>
    <row r="430" spans="1:18" x14ac:dyDescent="0.25">
      <c r="A430">
        <f>A413</f>
        <v>65</v>
      </c>
      <c r="B430" t="str">
        <f ca="1">IF(COUNTIF($B429:$D429,B$1)=0,"",B$1)</f>
        <v/>
      </c>
      <c r="C430" t="str">
        <f t="shared" ref="C430:R430" ca="1" si="371">IF(COUNTIF($B429:$D429,C$1)=0,"",C$1)</f>
        <v/>
      </c>
      <c r="D430" t="str">
        <f t="shared" ca="1" si="371"/>
        <v/>
      </c>
      <c r="E430" t="str">
        <f t="shared" ca="1" si="371"/>
        <v/>
      </c>
      <c r="F430" t="str">
        <f t="shared" ca="1" si="371"/>
        <v/>
      </c>
      <c r="G430" t="str">
        <f t="shared" ca="1" si="371"/>
        <v/>
      </c>
      <c r="H430" t="str">
        <f t="shared" ca="1" si="371"/>
        <v/>
      </c>
      <c r="I430" t="str">
        <f t="shared" ca="1" si="371"/>
        <v/>
      </c>
      <c r="J430" t="str">
        <f t="shared" ca="1" si="371"/>
        <v/>
      </c>
      <c r="K430" t="str">
        <f t="shared" ca="1" si="371"/>
        <v/>
      </c>
      <c r="L430" t="str">
        <f t="shared" ca="1" si="371"/>
        <v>Jason</v>
      </c>
      <c r="M430" t="str">
        <f t="shared" ca="1" si="371"/>
        <v/>
      </c>
      <c r="N430" t="str">
        <f t="shared" ca="1" si="371"/>
        <v/>
      </c>
      <c r="O430" t="str">
        <f t="shared" ca="1" si="371"/>
        <v/>
      </c>
      <c r="P430" t="str">
        <f t="shared" ca="1" si="371"/>
        <v/>
      </c>
      <c r="Q430" t="str">
        <f t="shared" ca="1" si="371"/>
        <v/>
      </c>
      <c r="R430" t="str">
        <f t="shared" ca="1" si="371"/>
        <v>Alex</v>
      </c>
    </row>
    <row r="431" spans="1:18" x14ac:dyDescent="0.25">
      <c r="A431" t="str">
        <f ca="1">Game!H1537</f>
        <v>Alex</v>
      </c>
      <c r="B431" t="str">
        <f ca="1">IF(B430="","",INDEX(B$2:B$18,MATCH($A$431,$A$2:$A$18,0)))</f>
        <v/>
      </c>
      <c r="C431" t="str">
        <f t="shared" ref="C431:R431" ca="1" si="372">IF(C430="","",INDEX(C$2:C$18,MATCH($A$431,$A$2:$A$18,0)))</f>
        <v/>
      </c>
      <c r="D431" t="str">
        <f t="shared" ca="1" si="372"/>
        <v/>
      </c>
      <c r="E431" t="str">
        <f t="shared" ca="1" si="372"/>
        <v/>
      </c>
      <c r="F431" t="str">
        <f t="shared" ca="1" si="372"/>
        <v/>
      </c>
      <c r="G431" t="str">
        <f t="shared" ca="1" si="372"/>
        <v/>
      </c>
      <c r="H431" t="str">
        <f t="shared" ca="1" si="372"/>
        <v/>
      </c>
      <c r="I431" t="str">
        <f t="shared" ca="1" si="372"/>
        <v/>
      </c>
      <c r="J431" t="str">
        <f t="shared" ca="1" si="372"/>
        <v/>
      </c>
      <c r="K431" t="str">
        <f t="shared" ca="1" si="372"/>
        <v/>
      </c>
      <c r="L431">
        <f t="shared" ca="1" si="372"/>
        <v>62.423641384313534</v>
      </c>
      <c r="M431" t="str">
        <f t="shared" ca="1" si="372"/>
        <v/>
      </c>
      <c r="N431" t="str">
        <f t="shared" ca="1" si="372"/>
        <v/>
      </c>
      <c r="O431" t="str">
        <f t="shared" ca="1" si="372"/>
        <v/>
      </c>
      <c r="P431" t="str">
        <f t="shared" ca="1" si="372"/>
        <v/>
      </c>
      <c r="Q431" t="str">
        <f t="shared" ca="1" si="372"/>
        <v/>
      </c>
      <c r="R431">
        <f t="shared" ca="1" si="372"/>
        <v>101</v>
      </c>
    </row>
    <row r="432" spans="1:18" x14ac:dyDescent="0.25">
      <c r="A432">
        <f ca="1">LARGE(B431:R431,1)</f>
        <v>101</v>
      </c>
      <c r="B432" t="str">
        <f ca="1">IF(A433=A434,LARGE(B431:R431,2),"")</f>
        <v/>
      </c>
    </row>
    <row r="433" spans="1:18" x14ac:dyDescent="0.25">
      <c r="A433" t="str">
        <f ca="1">IF(A432&lt;=A430-1,IF(D429="","Neither Nominee","Nobody"),INDEX(B430:R430,MATCH(A432,B431:R431,0)))</f>
        <v>Alex</v>
      </c>
      <c r="B433" t="str">
        <f ca="1">IF(B432&lt;=A430-1,IF(D429="","Neither Nominee","Nobody"),INDEX(B430:R430,MATCH(B432,B431:R431,0)))</f>
        <v/>
      </c>
      <c r="C433" t="str">
        <f ca="1">IF(A433=A434,B433,A433)</f>
        <v>Alex</v>
      </c>
    </row>
    <row r="434" spans="1:18" x14ac:dyDescent="0.25">
      <c r="A434" t="str">
        <f ca="1">Game!D1543</f>
        <v/>
      </c>
      <c r="B434" t="str">
        <f ca="1">IF($A$434="","",IF(B430="","",IF(B430=$C$433,"",INDEX(B$2:B$18,MATCH($A$434,$A$2:$A$18,0)))))</f>
        <v/>
      </c>
      <c r="C434" t="str">
        <f t="shared" ref="C434:R434" ca="1" si="373">IF($A$434="","",IF(C430="","",IF(C430=$C$433,"",INDEX(C$2:C$18,MATCH($A$434,$A$2:$A$18,0)))))</f>
        <v/>
      </c>
      <c r="D434" t="str">
        <f t="shared" ca="1" si="373"/>
        <v/>
      </c>
      <c r="E434" t="str">
        <f t="shared" ca="1" si="373"/>
        <v/>
      </c>
      <c r="F434" t="str">
        <f t="shared" ca="1" si="373"/>
        <v/>
      </c>
      <c r="G434" t="str">
        <f t="shared" ca="1" si="373"/>
        <v/>
      </c>
      <c r="H434" t="str">
        <f t="shared" ca="1" si="373"/>
        <v/>
      </c>
      <c r="I434" t="str">
        <f t="shared" ca="1" si="373"/>
        <v/>
      </c>
      <c r="J434" t="str">
        <f t="shared" ca="1" si="373"/>
        <v/>
      </c>
      <c r="K434" t="str">
        <f t="shared" ca="1" si="373"/>
        <v/>
      </c>
      <c r="L434" t="str">
        <f t="shared" ca="1" si="373"/>
        <v/>
      </c>
      <c r="M434" t="str">
        <f t="shared" ca="1" si="373"/>
        <v/>
      </c>
      <c r="N434" t="str">
        <f t="shared" ca="1" si="373"/>
        <v/>
      </c>
      <c r="O434" t="str">
        <f t="shared" ca="1" si="373"/>
        <v/>
      </c>
      <c r="P434" t="str">
        <f t="shared" ca="1" si="373"/>
        <v/>
      </c>
      <c r="Q434" t="str">
        <f t="shared" ca="1" si="373"/>
        <v/>
      </c>
      <c r="R434" t="str">
        <f t="shared" ca="1" si="373"/>
        <v/>
      </c>
    </row>
    <row r="435" spans="1:18" x14ac:dyDescent="0.25">
      <c r="A435" t="str">
        <f ca="1">IF(A434="","",LARGE(B434:R434,1))</f>
        <v/>
      </c>
    </row>
    <row r="436" spans="1:18" x14ac:dyDescent="0.25">
      <c r="A436" t="str">
        <f ca="1">IF(A434="","",IF(A435&lt;=A430-1,IF(D429="","Neither Nominee","Nobody"),INDEX(B430:R430,MATCH(A435,B434:R434,0))))</f>
        <v/>
      </c>
    </row>
    <row r="438" spans="1:18" x14ac:dyDescent="0.25">
      <c r="B438" t="str">
        <f ca="1">B426</f>
        <v>Raven</v>
      </c>
      <c r="C438" t="str">
        <f t="shared" ref="C438:R438" ca="1" si="374">C426</f>
        <v/>
      </c>
      <c r="D438" t="str">
        <f t="shared" ca="1" si="374"/>
        <v/>
      </c>
      <c r="E438" t="str">
        <f t="shared" ca="1" si="374"/>
        <v/>
      </c>
      <c r="F438" t="str">
        <f t="shared" ca="1" si="374"/>
        <v>Matt</v>
      </c>
      <c r="G438" t="str">
        <f t="shared" ca="1" si="374"/>
        <v/>
      </c>
      <c r="H438" t="str">
        <f t="shared" ca="1" si="374"/>
        <v/>
      </c>
      <c r="I438" t="str">
        <f t="shared" ca="1" si="374"/>
        <v/>
      </c>
      <c r="J438" t="str">
        <f t="shared" ca="1" si="374"/>
        <v/>
      </c>
      <c r="K438" t="str">
        <f t="shared" ca="1" si="374"/>
        <v>Jessica</v>
      </c>
      <c r="L438" t="str">
        <f t="shared" ca="1" si="374"/>
        <v>Jason</v>
      </c>
      <c r="M438" t="str">
        <f t="shared" ca="1" si="374"/>
        <v/>
      </c>
      <c r="N438" t="str">
        <f t="shared" ca="1" si="374"/>
        <v/>
      </c>
      <c r="O438" t="str">
        <f t="shared" ca="1" si="374"/>
        <v>Cody</v>
      </c>
      <c r="P438" t="str">
        <f t="shared" ca="1" si="374"/>
        <v/>
      </c>
      <c r="Q438" t="str">
        <f t="shared" ca="1" si="374"/>
        <v>Cameron</v>
      </c>
      <c r="R438" t="str">
        <f t="shared" ca="1" si="374"/>
        <v>Alex</v>
      </c>
    </row>
    <row r="439" spans="1:18" x14ac:dyDescent="0.25">
      <c r="A439" t="str">
        <f ca="1">Game!G1549</f>
        <v>Jessica</v>
      </c>
      <c r="B439">
        <f t="shared" ref="B439" ca="1" si="375">IF(B438="","",INDEX(B$2:B$18,MATCH($A439,$A$2:$A$18,0)))</f>
        <v>82.335943293871836</v>
      </c>
      <c r="C439" t="str">
        <f ca="1">IF(C438="","",INDEX(C$2:C$18,MATCH($A439,$A$2:$A$18,0)))</f>
        <v/>
      </c>
      <c r="D439" t="str">
        <f t="shared" ref="D439:R439" ca="1" si="376">IF(D438="","",INDEX(D$2:D$18,MATCH($A439,$A$2:$A$18,0)))</f>
        <v/>
      </c>
      <c r="E439" t="str">
        <f t="shared" ca="1" si="376"/>
        <v/>
      </c>
      <c r="F439">
        <f t="shared" ca="1" si="376"/>
        <v>43.093973233306507</v>
      </c>
      <c r="G439" t="str">
        <f t="shared" ca="1" si="376"/>
        <v/>
      </c>
      <c r="H439" t="str">
        <f t="shared" ca="1" si="376"/>
        <v/>
      </c>
      <c r="I439" t="str">
        <f t="shared" ca="1" si="376"/>
        <v/>
      </c>
      <c r="J439" t="str">
        <f t="shared" ca="1" si="376"/>
        <v/>
      </c>
      <c r="K439">
        <f t="shared" ca="1" si="376"/>
        <v>101</v>
      </c>
      <c r="L439">
        <f t="shared" ca="1" si="376"/>
        <v>51.265613737767033</v>
      </c>
      <c r="M439" t="str">
        <f t="shared" ca="1" si="376"/>
        <v/>
      </c>
      <c r="N439" t="str">
        <f t="shared" ca="1" si="376"/>
        <v/>
      </c>
      <c r="O439">
        <f t="shared" ca="1" si="376"/>
        <v>46.28551811425136</v>
      </c>
      <c r="P439" t="str">
        <f t="shared" ca="1" si="376"/>
        <v/>
      </c>
      <c r="Q439">
        <f t="shared" ca="1" si="376"/>
        <v>44.433469371378045</v>
      </c>
      <c r="R439">
        <f t="shared" ca="1" si="376"/>
        <v>38.251270749609361</v>
      </c>
    </row>
    <row r="440" spans="1:18" x14ac:dyDescent="0.25">
      <c r="A440" t="str">
        <f ca="1">Game!G1550</f>
        <v>Jason</v>
      </c>
      <c r="B440">
        <f t="shared" ref="B440:R440" ca="1" si="377">IF(B439="","",INDEX(B$2:B$18,MATCH($A440,$A$2:$A$18,0)))</f>
        <v>26.449699295094824</v>
      </c>
      <c r="C440" t="str">
        <f t="shared" ca="1" si="377"/>
        <v/>
      </c>
      <c r="D440" t="str">
        <f t="shared" ca="1" si="377"/>
        <v/>
      </c>
      <c r="E440" t="str">
        <f t="shared" ca="1" si="377"/>
        <v/>
      </c>
      <c r="F440">
        <f t="shared" ca="1" si="377"/>
        <v>84.449421673651997</v>
      </c>
      <c r="G440" t="str">
        <f t="shared" ca="1" si="377"/>
        <v/>
      </c>
      <c r="H440" t="str">
        <f t="shared" ca="1" si="377"/>
        <v/>
      </c>
      <c r="I440" t="str">
        <f t="shared" ca="1" si="377"/>
        <v/>
      </c>
      <c r="J440" t="str">
        <f t="shared" ca="1" si="377"/>
        <v/>
      </c>
      <c r="K440">
        <f t="shared" ca="1" si="377"/>
        <v>51.265613737767033</v>
      </c>
      <c r="L440">
        <f t="shared" ca="1" si="377"/>
        <v>101</v>
      </c>
      <c r="M440" t="str">
        <f t="shared" ca="1" si="377"/>
        <v/>
      </c>
      <c r="N440" t="str">
        <f t="shared" ca="1" si="377"/>
        <v/>
      </c>
      <c r="O440">
        <f t="shared" ca="1" si="377"/>
        <v>41.238479804029616</v>
      </c>
      <c r="P440" t="str">
        <f t="shared" ca="1" si="377"/>
        <v/>
      </c>
      <c r="Q440">
        <f t="shared" ca="1" si="377"/>
        <v>15.394165717913744</v>
      </c>
      <c r="R440">
        <f t="shared" ca="1" si="377"/>
        <v>62.423641384313534</v>
      </c>
    </row>
    <row r="441" spans="1:18" x14ac:dyDescent="0.25">
      <c r="B441" t="str">
        <f ca="1">IF(B438="","",INDEX(A439:A440,MATCH(SMALL(B439:B440,1),B439:B440,0)))</f>
        <v>Jason</v>
      </c>
      <c r="C441" t="str">
        <f ca="1">IF(C438="","",INDEX($A439:$A440,MATCH(SMALL(C439:C440,1),C439:C440,0)))</f>
        <v/>
      </c>
      <c r="D441" t="str">
        <f t="shared" ref="D441:R441" ca="1" si="378">IF(D438="","",INDEX($A439:$A440,MATCH(SMALL(D439:D440,1),D439:D440,0)))</f>
        <v/>
      </c>
      <c r="E441" t="str">
        <f t="shared" ca="1" si="378"/>
        <v/>
      </c>
      <c r="F441" t="str">
        <f t="shared" ca="1" si="378"/>
        <v>Jessica</v>
      </c>
      <c r="G441" t="str">
        <f t="shared" ca="1" si="378"/>
        <v/>
      </c>
      <c r="H441" t="str">
        <f t="shared" ca="1" si="378"/>
        <v/>
      </c>
      <c r="I441" t="str">
        <f t="shared" ca="1" si="378"/>
        <v/>
      </c>
      <c r="J441" t="str">
        <f t="shared" ca="1" si="378"/>
        <v/>
      </c>
      <c r="K441" t="str">
        <f t="shared" ca="1" si="378"/>
        <v>Jason</v>
      </c>
      <c r="L441" t="str">
        <f t="shared" ca="1" si="378"/>
        <v>Jessica</v>
      </c>
      <c r="M441" t="str">
        <f t="shared" ca="1" si="378"/>
        <v/>
      </c>
      <c r="N441" t="str">
        <f t="shared" ca="1" si="378"/>
        <v/>
      </c>
      <c r="O441" t="str">
        <f t="shared" ca="1" si="378"/>
        <v>Jason</v>
      </c>
      <c r="P441" t="str">
        <f t="shared" ca="1" si="378"/>
        <v/>
      </c>
      <c r="Q441" t="str">
        <f t="shared" ca="1" si="378"/>
        <v>Jason</v>
      </c>
      <c r="R441" t="str">
        <f t="shared" ca="1" si="378"/>
        <v>Jessica</v>
      </c>
    </row>
    <row r="443" spans="1:18" x14ac:dyDescent="0.25">
      <c r="A443" t="str">
        <f ca="1">Game!G1568</f>
        <v>Jason</v>
      </c>
      <c r="B443" t="str">
        <f ca="1">IF(B438=$A$443,"",B438)</f>
        <v>Raven</v>
      </c>
      <c r="C443" t="str">
        <f t="shared" ref="C443:R443" ca="1" si="379">IF(C438=$A$443,"",C438)</f>
        <v/>
      </c>
      <c r="D443" t="str">
        <f t="shared" ca="1" si="379"/>
        <v/>
      </c>
      <c r="E443" t="str">
        <f t="shared" ca="1" si="379"/>
        <v/>
      </c>
      <c r="F443" t="str">
        <f t="shared" ca="1" si="379"/>
        <v>Matt</v>
      </c>
      <c r="G443" t="str">
        <f t="shared" ca="1" si="379"/>
        <v/>
      </c>
      <c r="H443" t="str">
        <f t="shared" ca="1" si="379"/>
        <v/>
      </c>
      <c r="I443" t="str">
        <f t="shared" ca="1" si="379"/>
        <v/>
      </c>
      <c r="J443" t="str">
        <f t="shared" ca="1" si="379"/>
        <v/>
      </c>
      <c r="K443" t="str">
        <f t="shared" ca="1" si="379"/>
        <v>Jessica</v>
      </c>
      <c r="L443" t="str">
        <f t="shared" ca="1" si="379"/>
        <v/>
      </c>
      <c r="M443" t="str">
        <f t="shared" ca="1" si="379"/>
        <v/>
      </c>
      <c r="N443" t="str">
        <f t="shared" ca="1" si="379"/>
        <v/>
      </c>
      <c r="O443" t="str">
        <f t="shared" ca="1" si="379"/>
        <v>Cody</v>
      </c>
      <c r="P443" t="str">
        <f t="shared" ca="1" si="379"/>
        <v/>
      </c>
      <c r="Q443" t="str">
        <f t="shared" ca="1" si="379"/>
        <v>Cameron</v>
      </c>
      <c r="R443" t="str">
        <f t="shared" ca="1" si="379"/>
        <v>Alex</v>
      </c>
    </row>
    <row r="444" spans="1:18" x14ac:dyDescent="0.25">
      <c r="A444" t="str">
        <f ca="1">Game!H1595</f>
        <v>Jessica</v>
      </c>
      <c r="B444" s="13">
        <f ca="1">IF(B443="","",INDEX(B$2:B$18,MATCH($A444,$A$2:$A$18,0)))</f>
        <v>82.335943293871836</v>
      </c>
      <c r="C444" s="13" t="str">
        <f t="shared" ref="C444:R444" ca="1" si="380">IF(C443="","",INDEX(C$2:C$18,MATCH($A444,$A$2:$A$18,0)))</f>
        <v/>
      </c>
      <c r="D444" s="13" t="str">
        <f t="shared" ca="1" si="380"/>
        <v/>
      </c>
      <c r="E444" s="13" t="str">
        <f t="shared" ca="1" si="380"/>
        <v/>
      </c>
      <c r="F444" s="13">
        <f t="shared" ca="1" si="380"/>
        <v>43.093973233306507</v>
      </c>
      <c r="G444" s="13" t="str">
        <f t="shared" ca="1" si="380"/>
        <v/>
      </c>
      <c r="H444" s="13" t="str">
        <f t="shared" ca="1" si="380"/>
        <v/>
      </c>
      <c r="I444" s="13" t="str">
        <f t="shared" ca="1" si="380"/>
        <v/>
      </c>
      <c r="J444" s="13" t="str">
        <f t="shared" ca="1" si="380"/>
        <v/>
      </c>
      <c r="K444" s="13">
        <f t="shared" ca="1" si="380"/>
        <v>101</v>
      </c>
      <c r="L444" s="13" t="str">
        <f t="shared" ca="1" si="380"/>
        <v/>
      </c>
      <c r="M444" s="13" t="str">
        <f t="shared" ca="1" si="380"/>
        <v/>
      </c>
      <c r="N444" s="13" t="str">
        <f t="shared" ca="1" si="380"/>
        <v/>
      </c>
      <c r="O444" s="13">
        <f t="shared" ca="1" si="380"/>
        <v>46.28551811425136</v>
      </c>
      <c r="P444" s="13" t="str">
        <f t="shared" ca="1" si="380"/>
        <v/>
      </c>
      <c r="Q444" s="13">
        <f t="shared" ca="1" si="380"/>
        <v>44.433469371378045</v>
      </c>
      <c r="R444" s="13">
        <f t="shared" ca="1" si="380"/>
        <v>38.251270749609361</v>
      </c>
    </row>
    <row r="446" spans="1:18" x14ac:dyDescent="0.25">
      <c r="A446" t="s">
        <v>113</v>
      </c>
      <c r="B446" t="str">
        <f ca="1">Game!H1608</f>
        <v>Alex</v>
      </c>
      <c r="C446" t="str">
        <f ca="1">Game!I1608</f>
        <v>Matt</v>
      </c>
    </row>
    <row r="447" spans="1:18" x14ac:dyDescent="0.25">
      <c r="A447">
        <f>A430</f>
        <v>65</v>
      </c>
      <c r="B447" t="str">
        <f ca="1">IF(COUNTIF($B446:$D446,B$1)=0,"",B$1)</f>
        <v/>
      </c>
      <c r="C447" t="str">
        <f t="shared" ref="C447:R447" ca="1" si="381">IF(COUNTIF($B446:$D446,C$1)=0,"",C$1)</f>
        <v/>
      </c>
      <c r="D447" t="str">
        <f t="shared" ca="1" si="381"/>
        <v/>
      </c>
      <c r="E447" t="str">
        <f t="shared" ca="1" si="381"/>
        <v/>
      </c>
      <c r="F447" t="str">
        <f t="shared" ca="1" si="381"/>
        <v>Matt</v>
      </c>
      <c r="G447" t="str">
        <f t="shared" ca="1" si="381"/>
        <v/>
      </c>
      <c r="H447" t="str">
        <f t="shared" ca="1" si="381"/>
        <v/>
      </c>
      <c r="I447" t="str">
        <f t="shared" ca="1" si="381"/>
        <v/>
      </c>
      <c r="J447" t="str">
        <f t="shared" ca="1" si="381"/>
        <v/>
      </c>
      <c r="K447" t="str">
        <f t="shared" ca="1" si="381"/>
        <v/>
      </c>
      <c r="L447" t="str">
        <f t="shared" ca="1" si="381"/>
        <v/>
      </c>
      <c r="M447" t="str">
        <f t="shared" ca="1" si="381"/>
        <v/>
      </c>
      <c r="N447" t="str">
        <f t="shared" ca="1" si="381"/>
        <v/>
      </c>
      <c r="O447" t="str">
        <f t="shared" ca="1" si="381"/>
        <v/>
      </c>
      <c r="P447" t="str">
        <f t="shared" ca="1" si="381"/>
        <v/>
      </c>
      <c r="Q447" t="str">
        <f t="shared" ca="1" si="381"/>
        <v/>
      </c>
      <c r="R447" t="str">
        <f t="shared" ca="1" si="381"/>
        <v>Alex</v>
      </c>
    </row>
    <row r="448" spans="1:18" x14ac:dyDescent="0.25">
      <c r="A448" t="str">
        <f ca="1">Game!H1616</f>
        <v>Matt</v>
      </c>
      <c r="B448" t="str">
        <f t="shared" ref="B448:G448" ca="1" si="382">IF(B447="","",INDEX(B$2:B$18,MATCH($A$448,$A$2:$A$18,0)))</f>
        <v/>
      </c>
      <c r="C448" t="str">
        <f t="shared" ca="1" si="382"/>
        <v/>
      </c>
      <c r="D448" t="str">
        <f t="shared" ca="1" si="382"/>
        <v/>
      </c>
      <c r="E448" t="str">
        <f t="shared" ca="1" si="382"/>
        <v/>
      </c>
      <c r="F448">
        <f t="shared" ca="1" si="382"/>
        <v>101</v>
      </c>
      <c r="G448" t="str">
        <f t="shared" ca="1" si="382"/>
        <v/>
      </c>
      <c r="H448" t="str">
        <f ca="1">IF(H447="","",INDEX(H$2:H$18,MATCH($A$448,$A$2:$A$18,0)))</f>
        <v/>
      </c>
      <c r="I448" t="str">
        <f t="shared" ref="I448:R448" ca="1" si="383">IF(I447="","",INDEX(I$2:I$18,MATCH($A$448,$A$2:$A$18,0)))</f>
        <v/>
      </c>
      <c r="J448" t="str">
        <f t="shared" ca="1" si="383"/>
        <v/>
      </c>
      <c r="K448" t="str">
        <f t="shared" ca="1" si="383"/>
        <v/>
      </c>
      <c r="L448" t="str">
        <f t="shared" ca="1" si="383"/>
        <v/>
      </c>
      <c r="M448" t="str">
        <f t="shared" ca="1" si="383"/>
        <v/>
      </c>
      <c r="N448" t="str">
        <f t="shared" ca="1" si="383"/>
        <v/>
      </c>
      <c r="O448" t="str">
        <f t="shared" ca="1" si="383"/>
        <v/>
      </c>
      <c r="P448" t="str">
        <f t="shared" ca="1" si="383"/>
        <v/>
      </c>
      <c r="Q448" t="str">
        <f t="shared" ca="1" si="383"/>
        <v/>
      </c>
      <c r="R448">
        <f t="shared" ca="1" si="383"/>
        <v>1.3087948788959189</v>
      </c>
    </row>
    <row r="449" spans="1:18" x14ac:dyDescent="0.25">
      <c r="A449">
        <f ca="1">LARGE(B448:R448,1)</f>
        <v>101</v>
      </c>
    </row>
    <row r="450" spans="1:18" x14ac:dyDescent="0.25">
      <c r="A450" t="str">
        <f ca="1">IF(A449&lt;=A447-1,IF(D446="","Neither Nominee","Nobody"),INDEX(B447:R447,MATCH(A449,B448:R448,0)))</f>
        <v>Matt</v>
      </c>
    </row>
    <row r="452" spans="1:18" x14ac:dyDescent="0.25">
      <c r="B452" t="str">
        <f ca="1">B443</f>
        <v>Raven</v>
      </c>
      <c r="C452" t="str">
        <f t="shared" ref="C452:R452" ca="1" si="384">C443</f>
        <v/>
      </c>
      <c r="D452" t="str">
        <f t="shared" ca="1" si="384"/>
        <v/>
      </c>
      <c r="E452" t="str">
        <f t="shared" ca="1" si="384"/>
        <v/>
      </c>
      <c r="F452" t="str">
        <f t="shared" ca="1" si="384"/>
        <v>Matt</v>
      </c>
      <c r="G452" t="str">
        <f t="shared" ca="1" si="384"/>
        <v/>
      </c>
      <c r="H452" t="str">
        <f t="shared" ca="1" si="384"/>
        <v/>
      </c>
      <c r="I452" t="str">
        <f t="shared" ca="1" si="384"/>
        <v/>
      </c>
      <c r="J452" t="str">
        <f t="shared" ca="1" si="384"/>
        <v/>
      </c>
      <c r="K452" t="str">
        <f t="shared" ca="1" si="384"/>
        <v>Jessica</v>
      </c>
      <c r="L452" t="str">
        <f t="shared" ca="1" si="384"/>
        <v/>
      </c>
      <c r="M452" t="str">
        <f t="shared" ca="1" si="384"/>
        <v/>
      </c>
      <c r="N452" t="str">
        <f t="shared" ca="1" si="384"/>
        <v/>
      </c>
      <c r="O452" t="str">
        <f t="shared" ca="1" si="384"/>
        <v>Cody</v>
      </c>
      <c r="P452" t="str">
        <f t="shared" ca="1" si="384"/>
        <v/>
      </c>
      <c r="Q452" t="str">
        <f t="shared" ca="1" si="384"/>
        <v>Cameron</v>
      </c>
      <c r="R452" t="str">
        <f t="shared" ca="1" si="384"/>
        <v>Alex</v>
      </c>
    </row>
    <row r="453" spans="1:18" x14ac:dyDescent="0.25">
      <c r="A453" t="str">
        <f ca="1">Game!G1625</f>
        <v>Alex</v>
      </c>
      <c r="B453">
        <f t="shared" ref="B453" ca="1" si="385">IF(B452="","",INDEX(B$2:B$18,MATCH($A453,$A$2:$A$18,0)))</f>
        <v>27.072683409527087</v>
      </c>
      <c r="C453" t="str">
        <f ca="1">IF(C452="","",INDEX(C$2:C$18,MATCH($A453,$A$2:$A$18,0)))</f>
        <v/>
      </c>
      <c r="D453" t="str">
        <f t="shared" ref="D453:R453" ca="1" si="386">IF(D452="","",INDEX(D$2:D$18,MATCH($A453,$A$2:$A$18,0)))</f>
        <v/>
      </c>
      <c r="E453" t="str">
        <f t="shared" ca="1" si="386"/>
        <v/>
      </c>
      <c r="F453">
        <f t="shared" ca="1" si="386"/>
        <v>1.3087948788959189</v>
      </c>
      <c r="G453" t="str">
        <f t="shared" ca="1" si="386"/>
        <v/>
      </c>
      <c r="H453" t="str">
        <f t="shared" ca="1" si="386"/>
        <v/>
      </c>
      <c r="I453" t="str">
        <f t="shared" ca="1" si="386"/>
        <v/>
      </c>
      <c r="J453" t="str">
        <f t="shared" ca="1" si="386"/>
        <v/>
      </c>
      <c r="K453">
        <f t="shared" ca="1" si="386"/>
        <v>38.251270749609361</v>
      </c>
      <c r="L453" t="str">
        <f t="shared" ca="1" si="386"/>
        <v/>
      </c>
      <c r="M453" t="str">
        <f t="shared" ca="1" si="386"/>
        <v/>
      </c>
      <c r="N453" t="str">
        <f t="shared" ca="1" si="386"/>
        <v/>
      </c>
      <c r="O453">
        <f t="shared" ca="1" si="386"/>
        <v>23.434421387666173</v>
      </c>
      <c r="P453" t="str">
        <f t="shared" ca="1" si="386"/>
        <v/>
      </c>
      <c r="Q453">
        <f t="shared" ca="1" si="386"/>
        <v>74.337936926232928</v>
      </c>
      <c r="R453">
        <f t="shared" ca="1" si="386"/>
        <v>101</v>
      </c>
    </row>
    <row r="454" spans="1:18" x14ac:dyDescent="0.25">
      <c r="A454" t="str">
        <f ca="1">Game!G1626</f>
        <v>Cameron</v>
      </c>
      <c r="B454">
        <f t="shared" ref="B454:R454" ca="1" si="387">IF(B453="","",INDEX(B$2:B$18,MATCH($A454,$A$2:$A$18,0)))</f>
        <v>47.409368445659858</v>
      </c>
      <c r="C454" t="str">
        <f t="shared" ca="1" si="387"/>
        <v/>
      </c>
      <c r="D454" t="str">
        <f t="shared" ca="1" si="387"/>
        <v/>
      </c>
      <c r="E454" t="str">
        <f t="shared" ca="1" si="387"/>
        <v/>
      </c>
      <c r="F454">
        <f t="shared" ca="1" si="387"/>
        <v>68.279130379841646</v>
      </c>
      <c r="G454" t="str">
        <f t="shared" ca="1" si="387"/>
        <v/>
      </c>
      <c r="H454" t="str">
        <f t="shared" ca="1" si="387"/>
        <v/>
      </c>
      <c r="I454" t="str">
        <f t="shared" ca="1" si="387"/>
        <v/>
      </c>
      <c r="J454" t="str">
        <f t="shared" ca="1" si="387"/>
        <v/>
      </c>
      <c r="K454">
        <f t="shared" ca="1" si="387"/>
        <v>44.433469371378045</v>
      </c>
      <c r="L454" t="str">
        <f t="shared" ca="1" si="387"/>
        <v/>
      </c>
      <c r="M454" t="str">
        <f t="shared" ca="1" si="387"/>
        <v/>
      </c>
      <c r="N454" t="str">
        <f t="shared" ca="1" si="387"/>
        <v/>
      </c>
      <c r="O454">
        <f t="shared" ca="1" si="387"/>
        <v>69.289969172023191</v>
      </c>
      <c r="P454" t="str">
        <f t="shared" ca="1" si="387"/>
        <v/>
      </c>
      <c r="Q454">
        <f t="shared" ca="1" si="387"/>
        <v>101</v>
      </c>
      <c r="R454">
        <f t="shared" ca="1" si="387"/>
        <v>74.337936926232928</v>
      </c>
    </row>
    <row r="455" spans="1:18" x14ac:dyDescent="0.25">
      <c r="B455" t="str">
        <f ca="1">IF(B452="","",INDEX(A453:A454,MATCH(SMALL(B453:B454,1),B453:B454,0)))</f>
        <v>Alex</v>
      </c>
      <c r="C455" t="str">
        <f ca="1">IF(C452="","",INDEX($A453:$A454,MATCH(SMALL(C453:C454,1),C453:C454,0)))</f>
        <v/>
      </c>
      <c r="D455" t="str">
        <f t="shared" ref="D455:R455" ca="1" si="388">IF(D452="","",INDEX($A453:$A454,MATCH(SMALL(D453:D454,1),D453:D454,0)))</f>
        <v/>
      </c>
      <c r="E455" t="str">
        <f t="shared" ca="1" si="388"/>
        <v/>
      </c>
      <c r="F455" t="str">
        <f t="shared" ca="1" si="388"/>
        <v>Alex</v>
      </c>
      <c r="G455" t="str">
        <f t="shared" ca="1" si="388"/>
        <v/>
      </c>
      <c r="H455" t="str">
        <f t="shared" ca="1" si="388"/>
        <v/>
      </c>
      <c r="I455" t="str">
        <f t="shared" ca="1" si="388"/>
        <v/>
      </c>
      <c r="J455" t="str">
        <f t="shared" ca="1" si="388"/>
        <v/>
      </c>
      <c r="K455" t="str">
        <f t="shared" ca="1" si="388"/>
        <v>Alex</v>
      </c>
      <c r="L455" t="str">
        <f t="shared" ca="1" si="388"/>
        <v/>
      </c>
      <c r="M455" t="str">
        <f t="shared" ca="1" si="388"/>
        <v/>
      </c>
      <c r="N455" t="str">
        <f t="shared" ca="1" si="388"/>
        <v/>
      </c>
      <c r="O455" t="str">
        <f t="shared" ca="1" si="388"/>
        <v>Alex</v>
      </c>
      <c r="P455" t="str">
        <f t="shared" ca="1" si="388"/>
        <v/>
      </c>
      <c r="Q455" t="str">
        <f t="shared" ca="1" si="388"/>
        <v>Alex</v>
      </c>
      <c r="R455" t="str">
        <f t="shared" ca="1" si="388"/>
        <v>Cameron</v>
      </c>
    </row>
    <row r="457" spans="1:18" x14ac:dyDescent="0.25">
      <c r="A457" t="str">
        <f ca="1">Game!G1636</f>
        <v>Alex</v>
      </c>
      <c r="B457" t="str">
        <f ca="1">IF($A$457=B452,"",B452)</f>
        <v>Raven</v>
      </c>
      <c r="C457" t="str">
        <f t="shared" ref="C457:R457" ca="1" si="389">IF($A$457=C452,"",C452)</f>
        <v/>
      </c>
      <c r="D457" t="str">
        <f t="shared" ca="1" si="389"/>
        <v/>
      </c>
      <c r="E457" t="str">
        <f t="shared" ca="1" si="389"/>
        <v/>
      </c>
      <c r="F457" t="str">
        <f t="shared" ca="1" si="389"/>
        <v>Matt</v>
      </c>
      <c r="G457" t="str">
        <f t="shared" ca="1" si="389"/>
        <v/>
      </c>
      <c r="H457" t="str">
        <f t="shared" ca="1" si="389"/>
        <v/>
      </c>
      <c r="I457" t="str">
        <f t="shared" ca="1" si="389"/>
        <v/>
      </c>
      <c r="J457" t="str">
        <f t="shared" ca="1" si="389"/>
        <v/>
      </c>
      <c r="K457" t="str">
        <f t="shared" ca="1" si="389"/>
        <v>Jessica</v>
      </c>
      <c r="L457" t="str">
        <f t="shared" ca="1" si="389"/>
        <v/>
      </c>
      <c r="M457" t="str">
        <f t="shared" ca="1" si="389"/>
        <v/>
      </c>
      <c r="N457" t="str">
        <f t="shared" ca="1" si="389"/>
        <v/>
      </c>
      <c r="O457" t="str">
        <f t="shared" ca="1" si="389"/>
        <v>Cody</v>
      </c>
      <c r="P457" t="str">
        <f t="shared" ca="1" si="389"/>
        <v/>
      </c>
      <c r="Q457" t="str">
        <f t="shared" ca="1" si="389"/>
        <v>Cameron</v>
      </c>
      <c r="R457" t="str">
        <f t="shared" ca="1" si="389"/>
        <v/>
      </c>
    </row>
    <row r="458" spans="1:18" x14ac:dyDescent="0.25">
      <c r="A458" t="str">
        <f ca="1">Game!H1658</f>
        <v>Raven</v>
      </c>
      <c r="B458" s="13">
        <f t="shared" ref="B458:R458" ca="1" si="390">IF(B457="","",INDEX(B$2:B$18,MATCH($A458,$A$2:$A$18,0)))</f>
        <v>101</v>
      </c>
      <c r="C458" s="13" t="str">
        <f t="shared" ca="1" si="390"/>
        <v/>
      </c>
      <c r="D458" s="13" t="str">
        <f t="shared" ca="1" si="390"/>
        <v/>
      </c>
      <c r="E458" s="13" t="str">
        <f t="shared" ca="1" si="390"/>
        <v/>
      </c>
      <c r="F458" s="13">
        <f t="shared" ca="1" si="390"/>
        <v>16.041606218120869</v>
      </c>
      <c r="G458" s="13" t="str">
        <f t="shared" ca="1" si="390"/>
        <v/>
      </c>
      <c r="H458" s="13" t="str">
        <f t="shared" ca="1" si="390"/>
        <v/>
      </c>
      <c r="I458" s="13" t="str">
        <f t="shared" ca="1" si="390"/>
        <v/>
      </c>
      <c r="J458" s="13" t="str">
        <f t="shared" ca="1" si="390"/>
        <v/>
      </c>
      <c r="K458" s="13">
        <f t="shared" ca="1" si="390"/>
        <v>82.335943293871836</v>
      </c>
      <c r="L458" s="13" t="str">
        <f t="shared" ca="1" si="390"/>
        <v/>
      </c>
      <c r="M458" s="13" t="str">
        <f t="shared" ca="1" si="390"/>
        <v/>
      </c>
      <c r="N458" s="13" t="str">
        <f t="shared" ca="1" si="390"/>
        <v/>
      </c>
      <c r="O458" s="13">
        <f t="shared" ca="1" si="390"/>
        <v>73.03778757742748</v>
      </c>
      <c r="P458" s="13" t="str">
        <f t="shared" ca="1" si="390"/>
        <v/>
      </c>
      <c r="Q458" s="13">
        <f t="shared" ca="1" si="390"/>
        <v>47.409368445659858</v>
      </c>
      <c r="R458" s="13" t="str">
        <f t="shared" ca="1" si="390"/>
        <v/>
      </c>
    </row>
    <row r="460" spans="1:18" x14ac:dyDescent="0.25">
      <c r="A460" t="s">
        <v>113</v>
      </c>
      <c r="B460" t="str">
        <f ca="1">Game!H1668</f>
        <v>Matt</v>
      </c>
      <c r="C460" t="str">
        <f ca="1">Game!I1668</f>
        <v>Cameron</v>
      </c>
    </row>
    <row r="461" spans="1:18" x14ac:dyDescent="0.25">
      <c r="A461">
        <f>A447</f>
        <v>65</v>
      </c>
      <c r="B461" t="str">
        <f ca="1">IF(COUNTIF($B460:$D460,B$1)=0,"",B$1)</f>
        <v/>
      </c>
      <c r="C461" t="str">
        <f t="shared" ref="C461:R461" ca="1" si="391">IF(COUNTIF($B460:$D460,C$1)=0,"",C$1)</f>
        <v/>
      </c>
      <c r="D461" t="str">
        <f t="shared" ca="1" si="391"/>
        <v/>
      </c>
      <c r="E461" t="str">
        <f t="shared" ca="1" si="391"/>
        <v/>
      </c>
      <c r="F461" t="str">
        <f t="shared" ca="1" si="391"/>
        <v>Matt</v>
      </c>
      <c r="G461" t="str">
        <f t="shared" ca="1" si="391"/>
        <v/>
      </c>
      <c r="H461" t="str">
        <f t="shared" ca="1" si="391"/>
        <v/>
      </c>
      <c r="I461" t="str">
        <f t="shared" ca="1" si="391"/>
        <v/>
      </c>
      <c r="J461" t="str">
        <f t="shared" ca="1" si="391"/>
        <v/>
      </c>
      <c r="K461" t="str">
        <f t="shared" ca="1" si="391"/>
        <v/>
      </c>
      <c r="L461" t="str">
        <f t="shared" ca="1" si="391"/>
        <v/>
      </c>
      <c r="M461" t="str">
        <f t="shared" ca="1" si="391"/>
        <v/>
      </c>
      <c r="N461" t="str">
        <f t="shared" ca="1" si="391"/>
        <v/>
      </c>
      <c r="O461" t="str">
        <f t="shared" ca="1" si="391"/>
        <v/>
      </c>
      <c r="P461" t="str">
        <f t="shared" ca="1" si="391"/>
        <v/>
      </c>
      <c r="Q461" t="str">
        <f t="shared" ca="1" si="391"/>
        <v>Cameron</v>
      </c>
      <c r="R461" t="str">
        <f t="shared" ca="1" si="391"/>
        <v/>
      </c>
    </row>
    <row r="462" spans="1:18" x14ac:dyDescent="0.25">
      <c r="A462" t="str">
        <f ca="1">Game!H1675</f>
        <v>Cameron</v>
      </c>
      <c r="B462" t="str">
        <f ca="1">IF(B461="","",INDEX(B$2:B$18,MATCH($A$462,$A$2:$A$18,0)))</f>
        <v/>
      </c>
      <c r="C462" t="str">
        <f t="shared" ref="C462:R462" ca="1" si="392">IF(C461="","",INDEX(C$2:C$18,MATCH($A$462,$A$2:$A$18,0)))</f>
        <v/>
      </c>
      <c r="D462" t="str">
        <f t="shared" ca="1" si="392"/>
        <v/>
      </c>
      <c r="E462" t="str">
        <f t="shared" ca="1" si="392"/>
        <v/>
      </c>
      <c r="F462">
        <f t="shared" ca="1" si="392"/>
        <v>68.279130379841646</v>
      </c>
      <c r="G462" t="str">
        <f t="shared" ca="1" si="392"/>
        <v/>
      </c>
      <c r="H462" t="str">
        <f t="shared" ca="1" si="392"/>
        <v/>
      </c>
      <c r="I462" t="str">
        <f t="shared" ca="1" si="392"/>
        <v/>
      </c>
      <c r="J462" t="str">
        <f t="shared" ca="1" si="392"/>
        <v/>
      </c>
      <c r="K462" t="str">
        <f t="shared" ca="1" si="392"/>
        <v/>
      </c>
      <c r="L462" t="str">
        <f t="shared" ca="1" si="392"/>
        <v/>
      </c>
      <c r="M462" t="str">
        <f t="shared" ca="1" si="392"/>
        <v/>
      </c>
      <c r="N462" t="str">
        <f t="shared" ca="1" si="392"/>
        <v/>
      </c>
      <c r="O462" t="str">
        <f t="shared" ca="1" si="392"/>
        <v/>
      </c>
      <c r="P462" t="str">
        <f t="shared" ca="1" si="392"/>
        <v/>
      </c>
      <c r="Q462">
        <f t="shared" ca="1" si="392"/>
        <v>101</v>
      </c>
      <c r="R462" t="str">
        <f t="shared" ca="1" si="392"/>
        <v/>
      </c>
    </row>
    <row r="463" spans="1:18" x14ac:dyDescent="0.25">
      <c r="A463">
        <f ca="1">LARGE(B462:R462,1)</f>
        <v>101</v>
      </c>
    </row>
    <row r="464" spans="1:18" x14ac:dyDescent="0.25">
      <c r="A464" t="str">
        <f ca="1">IF(A463&lt;=A461-1,IF(D460="","Neither Nominee","Nobody"),INDEX(B461:R461,MATCH(A463,B462:R462,0)))</f>
        <v>Cameron</v>
      </c>
    </row>
    <row r="466" spans="1:18" x14ac:dyDescent="0.25">
      <c r="B466" t="str">
        <f ca="1">B457</f>
        <v>Raven</v>
      </c>
      <c r="C466" t="str">
        <f t="shared" ref="C466:R466" ca="1" si="393">C457</f>
        <v/>
      </c>
      <c r="D466" t="str">
        <f t="shared" ca="1" si="393"/>
        <v/>
      </c>
      <c r="E466" t="str">
        <f t="shared" ca="1" si="393"/>
        <v/>
      </c>
      <c r="F466" t="str">
        <f t="shared" ca="1" si="393"/>
        <v>Matt</v>
      </c>
      <c r="G466" t="str">
        <f t="shared" ca="1" si="393"/>
        <v/>
      </c>
      <c r="H466" t="str">
        <f t="shared" ca="1" si="393"/>
        <v/>
      </c>
      <c r="I466" t="str">
        <f t="shared" ca="1" si="393"/>
        <v/>
      </c>
      <c r="J466" t="str">
        <f t="shared" ca="1" si="393"/>
        <v/>
      </c>
      <c r="K466" t="str">
        <f t="shared" ca="1" si="393"/>
        <v>Jessica</v>
      </c>
      <c r="L466" t="str">
        <f t="shared" ca="1" si="393"/>
        <v/>
      </c>
      <c r="M466" t="str">
        <f t="shared" ca="1" si="393"/>
        <v/>
      </c>
      <c r="N466" t="str">
        <f t="shared" ca="1" si="393"/>
        <v/>
      </c>
      <c r="O466" t="str">
        <f t="shared" ca="1" si="393"/>
        <v>Cody</v>
      </c>
      <c r="P466" t="str">
        <f t="shared" ca="1" si="393"/>
        <v/>
      </c>
      <c r="Q466" t="str">
        <f t="shared" ca="1" si="393"/>
        <v>Cameron</v>
      </c>
      <c r="R466" t="str">
        <f t="shared" ca="1" si="393"/>
        <v/>
      </c>
    </row>
    <row r="467" spans="1:18" x14ac:dyDescent="0.25">
      <c r="A467" t="str">
        <f ca="1">Game!G1684</f>
        <v>Matt</v>
      </c>
      <c r="B467">
        <f t="shared" ref="B467" ca="1" si="394">IF(B466="","",INDEX(B$2:B$18,MATCH($A467,$A$2:$A$18,0)))</f>
        <v>16.041606218120869</v>
      </c>
      <c r="C467" t="str">
        <f ca="1">IF(C466="","",INDEX(C$2:C$18,MATCH($A467,$A$2:$A$18,0)))</f>
        <v/>
      </c>
      <c r="D467" t="str">
        <f t="shared" ref="D467:R467" ca="1" si="395">IF(D466="","",INDEX(D$2:D$18,MATCH($A467,$A$2:$A$18,0)))</f>
        <v/>
      </c>
      <c r="E467" t="str">
        <f t="shared" ca="1" si="395"/>
        <v/>
      </c>
      <c r="F467">
        <f t="shared" ca="1" si="395"/>
        <v>101</v>
      </c>
      <c r="G467" t="str">
        <f t="shared" ca="1" si="395"/>
        <v/>
      </c>
      <c r="H467" t="str">
        <f t="shared" ca="1" si="395"/>
        <v/>
      </c>
      <c r="I467" t="str">
        <f t="shared" ca="1" si="395"/>
        <v/>
      </c>
      <c r="J467" t="str">
        <f t="shared" ca="1" si="395"/>
        <v/>
      </c>
      <c r="K467">
        <f t="shared" ca="1" si="395"/>
        <v>43.093973233306507</v>
      </c>
      <c r="L467" t="str">
        <f t="shared" ca="1" si="395"/>
        <v/>
      </c>
      <c r="M467" t="str">
        <f t="shared" ca="1" si="395"/>
        <v/>
      </c>
      <c r="N467" t="str">
        <f t="shared" ca="1" si="395"/>
        <v/>
      </c>
      <c r="O467">
        <f t="shared" ca="1" si="395"/>
        <v>77.161630741743451</v>
      </c>
      <c r="P467" t="str">
        <f t="shared" ca="1" si="395"/>
        <v/>
      </c>
      <c r="Q467">
        <f t="shared" ca="1" si="395"/>
        <v>68.279130379841646</v>
      </c>
      <c r="R467" t="str">
        <f t="shared" ca="1" si="395"/>
        <v/>
      </c>
    </row>
    <row r="468" spans="1:18" x14ac:dyDescent="0.25">
      <c r="A468" t="str">
        <f ca="1">Game!G1685</f>
        <v>Cody</v>
      </c>
      <c r="B468">
        <f t="shared" ref="B468:R468" ca="1" si="396">IF(B467="","",INDEX(B$2:B$18,MATCH($A468,$A$2:$A$18,0)))</f>
        <v>73.03778757742748</v>
      </c>
      <c r="C468" t="str">
        <f t="shared" ca="1" si="396"/>
        <v/>
      </c>
      <c r="D468" t="str">
        <f t="shared" ca="1" si="396"/>
        <v/>
      </c>
      <c r="E468" t="str">
        <f t="shared" ca="1" si="396"/>
        <v/>
      </c>
      <c r="F468">
        <f t="shared" ca="1" si="396"/>
        <v>77.161630741743451</v>
      </c>
      <c r="G468" t="str">
        <f t="shared" ca="1" si="396"/>
        <v/>
      </c>
      <c r="H468" t="str">
        <f t="shared" ca="1" si="396"/>
        <v/>
      </c>
      <c r="I468" t="str">
        <f t="shared" ca="1" si="396"/>
        <v/>
      </c>
      <c r="J468" t="str">
        <f t="shared" ca="1" si="396"/>
        <v/>
      </c>
      <c r="K468">
        <f t="shared" ca="1" si="396"/>
        <v>46.28551811425136</v>
      </c>
      <c r="L468" t="str">
        <f t="shared" ca="1" si="396"/>
        <v/>
      </c>
      <c r="M468" t="str">
        <f t="shared" ca="1" si="396"/>
        <v/>
      </c>
      <c r="N468" t="str">
        <f t="shared" ca="1" si="396"/>
        <v/>
      </c>
      <c r="O468">
        <f t="shared" ca="1" si="396"/>
        <v>101</v>
      </c>
      <c r="P468" t="str">
        <f t="shared" ca="1" si="396"/>
        <v/>
      </c>
      <c r="Q468">
        <f t="shared" ca="1" si="396"/>
        <v>69.289969172023191</v>
      </c>
      <c r="R468" t="str">
        <f t="shared" ca="1" si="396"/>
        <v/>
      </c>
    </row>
    <row r="469" spans="1:18" x14ac:dyDescent="0.25">
      <c r="B469" t="str">
        <f ca="1">IF(B466="","",INDEX(A467:A468,MATCH(SMALL(B467:B468,1),B467:B468,0)))</f>
        <v>Matt</v>
      </c>
      <c r="C469" t="str">
        <f ca="1">IF(C466="","",INDEX($A467:$A468,MATCH(SMALL(C467:C468,1),C467:C468,0)))</f>
        <v/>
      </c>
      <c r="D469" t="str">
        <f t="shared" ref="D469:R469" ca="1" si="397">IF(D466="","",INDEX($A467:$A468,MATCH(SMALL(D467:D468,1),D467:D468,0)))</f>
        <v/>
      </c>
      <c r="E469" t="str">
        <f t="shared" ca="1" si="397"/>
        <v/>
      </c>
      <c r="F469" t="str">
        <f t="shared" ca="1" si="397"/>
        <v>Cody</v>
      </c>
      <c r="G469" t="str">
        <f t="shared" ca="1" si="397"/>
        <v/>
      </c>
      <c r="H469" t="str">
        <f t="shared" ca="1" si="397"/>
        <v/>
      </c>
      <c r="I469" t="str">
        <f t="shared" ca="1" si="397"/>
        <v/>
      </c>
      <c r="J469" t="str">
        <f t="shared" ca="1" si="397"/>
        <v/>
      </c>
      <c r="K469" t="str">
        <f t="shared" ca="1" si="397"/>
        <v>Matt</v>
      </c>
      <c r="L469" t="str">
        <f t="shared" ca="1" si="397"/>
        <v/>
      </c>
      <c r="M469" t="str">
        <f t="shared" ca="1" si="397"/>
        <v/>
      </c>
      <c r="N469" t="str">
        <f t="shared" ca="1" si="397"/>
        <v/>
      </c>
      <c r="O469" t="str">
        <f t="shared" ca="1" si="397"/>
        <v>Matt</v>
      </c>
      <c r="P469" t="str">
        <f t="shared" ca="1" si="397"/>
        <v/>
      </c>
      <c r="Q469" t="str">
        <f t="shared" ca="1" si="397"/>
        <v>Matt</v>
      </c>
      <c r="R469" t="str">
        <f t="shared" ca="1" si="397"/>
        <v/>
      </c>
    </row>
    <row r="471" spans="1:18" x14ac:dyDescent="0.25">
      <c r="A471" t="str">
        <f ca="1">Game!G1698</f>
        <v>Matt</v>
      </c>
      <c r="B471" t="str">
        <f ca="1">IF(B466=$A$471,"",B466)</f>
        <v>Raven</v>
      </c>
      <c r="C471" t="str">
        <f t="shared" ref="C471:R471" ca="1" si="398">IF(C466=$A$471,"",C466)</f>
        <v/>
      </c>
      <c r="D471" t="str">
        <f t="shared" ca="1" si="398"/>
        <v/>
      </c>
      <c r="E471" t="str">
        <f t="shared" ca="1" si="398"/>
        <v/>
      </c>
      <c r="F471" t="str">
        <f t="shared" ca="1" si="398"/>
        <v/>
      </c>
      <c r="G471" t="str">
        <f t="shared" ca="1" si="398"/>
        <v/>
      </c>
      <c r="H471" t="str">
        <f t="shared" ca="1" si="398"/>
        <v/>
      </c>
      <c r="I471" t="str">
        <f t="shared" ca="1" si="398"/>
        <v/>
      </c>
      <c r="J471" t="str">
        <f t="shared" ca="1" si="398"/>
        <v/>
      </c>
      <c r="K471" t="str">
        <f t="shared" ca="1" si="398"/>
        <v>Jessica</v>
      </c>
      <c r="L471" t="str">
        <f t="shared" ca="1" si="398"/>
        <v/>
      </c>
      <c r="M471" t="str">
        <f t="shared" ca="1" si="398"/>
        <v/>
      </c>
      <c r="N471" t="str">
        <f t="shared" ca="1" si="398"/>
        <v/>
      </c>
      <c r="O471" t="str">
        <f t="shared" ca="1" si="398"/>
        <v>Cody</v>
      </c>
      <c r="P471" t="str">
        <f t="shared" ca="1" si="398"/>
        <v/>
      </c>
      <c r="Q471" t="str">
        <f t="shared" ca="1" si="398"/>
        <v>Cameron</v>
      </c>
      <c r="R471" t="str">
        <f t="shared" ca="1" si="398"/>
        <v/>
      </c>
    </row>
    <row r="472" spans="1:18" x14ac:dyDescent="0.25">
      <c r="A472" t="str">
        <f ca="1">Game!H1719</f>
        <v>Cameron</v>
      </c>
      <c r="B472" s="13">
        <f t="shared" ref="B472" ca="1" si="399">IF(B471="","",INDEX(B$2:B$18,MATCH($A472,$A$2:$A$18,0)))</f>
        <v>47.409368445659858</v>
      </c>
      <c r="C472" s="13" t="str">
        <f t="shared" ref="C472" ca="1" si="400">IF(C471="","",INDEX(C$2:C$18,MATCH($A472,$A$2:$A$18,0)))</f>
        <v/>
      </c>
      <c r="D472" s="13" t="str">
        <f t="shared" ref="D472" ca="1" si="401">IF(D471="","",INDEX(D$2:D$18,MATCH($A472,$A$2:$A$18,0)))</f>
        <v/>
      </c>
      <c r="E472" s="13" t="str">
        <f t="shared" ref="E472" ca="1" si="402">IF(E471="","",INDEX(E$2:E$18,MATCH($A472,$A$2:$A$18,0)))</f>
        <v/>
      </c>
      <c r="F472" s="13" t="str">
        <f t="shared" ref="F472" ca="1" si="403">IF(F471="","",INDEX(F$2:F$18,MATCH($A472,$A$2:$A$18,0)))</f>
        <v/>
      </c>
      <c r="G472" s="13" t="str">
        <f t="shared" ref="G472" ca="1" si="404">IF(G471="","",INDEX(G$2:G$18,MATCH($A472,$A$2:$A$18,0)))</f>
        <v/>
      </c>
      <c r="H472" s="13" t="str">
        <f t="shared" ref="H472" ca="1" si="405">IF(H471="","",INDEX(H$2:H$18,MATCH($A472,$A$2:$A$18,0)))</f>
        <v/>
      </c>
      <c r="I472" s="13" t="str">
        <f t="shared" ref="I472" ca="1" si="406">IF(I471="","",INDEX(I$2:I$18,MATCH($A472,$A$2:$A$18,0)))</f>
        <v/>
      </c>
      <c r="J472" s="13" t="str">
        <f t="shared" ref="J472" ca="1" si="407">IF(J471="","",INDEX(J$2:J$18,MATCH($A472,$A$2:$A$18,0)))</f>
        <v/>
      </c>
      <c r="K472" s="13">
        <f t="shared" ref="K472" ca="1" si="408">IF(K471="","",INDEX(K$2:K$18,MATCH($A472,$A$2:$A$18,0)))</f>
        <v>44.433469371378045</v>
      </c>
      <c r="L472" s="13" t="str">
        <f t="shared" ref="L472" ca="1" si="409">IF(L471="","",INDEX(L$2:L$18,MATCH($A472,$A$2:$A$18,0)))</f>
        <v/>
      </c>
      <c r="M472" s="13" t="str">
        <f t="shared" ref="M472" ca="1" si="410">IF(M471="","",INDEX(M$2:M$18,MATCH($A472,$A$2:$A$18,0)))</f>
        <v/>
      </c>
      <c r="N472" s="13" t="str">
        <f t="shared" ref="N472" ca="1" si="411">IF(N471="","",INDEX(N$2:N$18,MATCH($A472,$A$2:$A$18,0)))</f>
        <v/>
      </c>
      <c r="O472" s="13">
        <f t="shared" ref="O472" ca="1" si="412">IF(O471="","",INDEX(O$2:O$18,MATCH($A472,$A$2:$A$18,0)))</f>
        <v>69.289969172023191</v>
      </c>
      <c r="P472" s="13" t="str">
        <f t="shared" ref="P472" ca="1" si="413">IF(P471="","",INDEX(P$2:P$18,MATCH($A472,$A$2:$A$18,0)))</f>
        <v/>
      </c>
      <c r="Q472" s="13">
        <f t="shared" ref="Q472" ca="1" si="414">IF(Q471="","",INDEX(Q$2:Q$18,MATCH($A472,$A$2:$A$18,0)))</f>
        <v>101</v>
      </c>
      <c r="R472" s="13" t="str">
        <f t="shared" ref="R472" ca="1" si="415">IF(R471="","",INDEX(R$2:R$18,MATCH($A472,$A$2:$A$18,0)))</f>
        <v/>
      </c>
    </row>
    <row r="474" spans="1:18" x14ac:dyDescent="0.25">
      <c r="B474" t="str">
        <f>B1</f>
        <v>Raven</v>
      </c>
      <c r="C474" t="str">
        <f t="shared" ref="C474:R474" si="416">C1</f>
        <v>Ramses</v>
      </c>
      <c r="D474" t="str">
        <f t="shared" si="416"/>
        <v>Paul</v>
      </c>
      <c r="E474" t="str">
        <f t="shared" si="416"/>
        <v>Megan</v>
      </c>
      <c r="F474" t="str">
        <f t="shared" si="416"/>
        <v>Matt</v>
      </c>
      <c r="G474" t="str">
        <f t="shared" si="416"/>
        <v>Mark</v>
      </c>
      <c r="H474" t="str">
        <f t="shared" si="416"/>
        <v>Kevin</v>
      </c>
      <c r="I474" t="str">
        <f t="shared" si="416"/>
        <v>Josh</v>
      </c>
      <c r="J474" t="str">
        <f t="shared" si="416"/>
        <v>Jillian</v>
      </c>
      <c r="K474" t="str">
        <f t="shared" si="416"/>
        <v>Jessica</v>
      </c>
      <c r="L474" t="str">
        <f t="shared" si="416"/>
        <v>Jason</v>
      </c>
      <c r="M474" t="str">
        <f t="shared" si="416"/>
        <v>Elena</v>
      </c>
      <c r="N474" t="str">
        <f t="shared" si="416"/>
        <v>Dominique</v>
      </c>
      <c r="O474" t="str">
        <f t="shared" si="416"/>
        <v>Cody</v>
      </c>
      <c r="P474" t="str">
        <f t="shared" si="416"/>
        <v>Christmas</v>
      </c>
      <c r="Q474" t="str">
        <f t="shared" si="416"/>
        <v>Cameron</v>
      </c>
      <c r="R474" t="str">
        <f t="shared" si="416"/>
        <v>Alex</v>
      </c>
    </row>
    <row r="475" spans="1:18" x14ac:dyDescent="0.25">
      <c r="A475" t="str">
        <f ca="1">Game!D1802</f>
        <v>Cameron</v>
      </c>
      <c r="B475">
        <f t="shared" ref="B475" ca="1" si="417">IF(B474="","",INDEX(B$2:B$18,MATCH($A475,$A$2:$A$18,0)))</f>
        <v>47.409368445659858</v>
      </c>
      <c r="C475">
        <f ca="1">IF(C474="","",INDEX(C$2:C$18,MATCH($A475,$A$2:$A$18,0)))</f>
        <v>7.0998209115564732</v>
      </c>
      <c r="D475">
        <f t="shared" ref="D475:R475" ca="1" si="418">IF(D474="","",INDEX(D$2:D$18,MATCH($A475,$A$2:$A$18,0)))</f>
        <v>10.126848194985453</v>
      </c>
      <c r="E475">
        <f t="shared" ca="1" si="418"/>
        <v>61.288270954429585</v>
      </c>
      <c r="F475">
        <f t="shared" ca="1" si="418"/>
        <v>68.279130379841646</v>
      </c>
      <c r="G475">
        <f t="shared" ca="1" si="418"/>
        <v>17.366447548995119</v>
      </c>
      <c r="H475">
        <f t="shared" ca="1" si="418"/>
        <v>76.357698417700803</v>
      </c>
      <c r="I475">
        <f t="shared" ca="1" si="418"/>
        <v>41.253573787864298</v>
      </c>
      <c r="J475">
        <f t="shared" ca="1" si="418"/>
        <v>65.383887637253792</v>
      </c>
      <c r="K475">
        <f t="shared" ca="1" si="418"/>
        <v>44.433469371378045</v>
      </c>
      <c r="L475">
        <f t="shared" ca="1" si="418"/>
        <v>15.394165717913744</v>
      </c>
      <c r="M475">
        <f t="shared" ca="1" si="418"/>
        <v>12.409183957135806</v>
      </c>
      <c r="N475">
        <f t="shared" ca="1" si="418"/>
        <v>70.160437781869334</v>
      </c>
      <c r="O475">
        <f t="shared" ca="1" si="418"/>
        <v>69.289969172023191</v>
      </c>
      <c r="P475">
        <f t="shared" ca="1" si="418"/>
        <v>19.010344079183941</v>
      </c>
      <c r="Q475">
        <f t="shared" ca="1" si="418"/>
        <v>101</v>
      </c>
      <c r="R475">
        <f t="shared" ca="1" si="418"/>
        <v>74.337936926232928</v>
      </c>
    </row>
    <row r="476" spans="1:18" x14ac:dyDescent="0.25">
      <c r="A476" t="str">
        <f ca="1">Game!D1803</f>
        <v>Raven</v>
      </c>
      <c r="B476">
        <f t="shared" ref="B476:R476" ca="1" si="419">IF(B475="","",INDEX(B$2:B$18,MATCH($A476,$A$2:$A$18,0)))</f>
        <v>101</v>
      </c>
      <c r="C476">
        <f t="shared" ca="1" si="419"/>
        <v>61.058885096535313</v>
      </c>
      <c r="D476">
        <f t="shared" ca="1" si="419"/>
        <v>3.2624021588646253</v>
      </c>
      <c r="E476">
        <f t="shared" ca="1" si="419"/>
        <v>10.140565248618941</v>
      </c>
      <c r="F476">
        <f t="shared" ca="1" si="419"/>
        <v>16.041606218120869</v>
      </c>
      <c r="G476">
        <f t="shared" ca="1" si="419"/>
        <v>14.404075662040396</v>
      </c>
      <c r="H476">
        <f t="shared" ca="1" si="419"/>
        <v>9.0483330910820285</v>
      </c>
      <c r="I476">
        <f t="shared" ca="1" si="419"/>
        <v>16.322321659313264</v>
      </c>
      <c r="J476">
        <f t="shared" ca="1" si="419"/>
        <v>25.012998050500968</v>
      </c>
      <c r="K476">
        <f t="shared" ca="1" si="419"/>
        <v>82.335943293871836</v>
      </c>
      <c r="L476">
        <f t="shared" ca="1" si="419"/>
        <v>26.449699295094824</v>
      </c>
      <c r="M476">
        <f t="shared" ca="1" si="419"/>
        <v>56.2767320805171</v>
      </c>
      <c r="N476">
        <f t="shared" ca="1" si="419"/>
        <v>82.001622786281857</v>
      </c>
      <c r="O476">
        <f t="shared" ca="1" si="419"/>
        <v>73.03778757742748</v>
      </c>
      <c r="P476">
        <f t="shared" ca="1" si="419"/>
        <v>49.206725336114673</v>
      </c>
      <c r="Q476">
        <f t="shared" ca="1" si="419"/>
        <v>47.409368445659858</v>
      </c>
      <c r="R476">
        <f t="shared" ca="1" si="419"/>
        <v>27.072683409527087</v>
      </c>
    </row>
    <row r="477" spans="1:18" x14ac:dyDescent="0.25">
      <c r="B477" t="str">
        <f ca="1">IF(B474="","",INDEX(A475:A476,MATCH(LARGE(B475:B476,1),B475:B476,0)))</f>
        <v>Raven</v>
      </c>
      <c r="C477" t="str">
        <f t="shared" ref="C477:R477" ca="1" si="420">IF(C474="","",INDEX($A475:$A476,MATCH(LARGE(C475:C476,1),C475:C476,0)))</f>
        <v>Raven</v>
      </c>
      <c r="D477" t="str">
        <f t="shared" ca="1" si="420"/>
        <v>Cameron</v>
      </c>
      <c r="E477" t="str">
        <f t="shared" ca="1" si="420"/>
        <v>Cameron</v>
      </c>
      <c r="F477" t="str">
        <f t="shared" ca="1" si="420"/>
        <v>Cameron</v>
      </c>
      <c r="G477" t="str">
        <f t="shared" ca="1" si="420"/>
        <v>Cameron</v>
      </c>
      <c r="H477" t="str">
        <f t="shared" ca="1" si="420"/>
        <v>Cameron</v>
      </c>
      <c r="I477" t="str">
        <f t="shared" ca="1" si="420"/>
        <v>Cameron</v>
      </c>
      <c r="J477" t="str">
        <f t="shared" ca="1" si="420"/>
        <v>Cameron</v>
      </c>
      <c r="K477" t="str">
        <f t="shared" ca="1" si="420"/>
        <v>Raven</v>
      </c>
      <c r="L477" t="str">
        <f t="shared" ca="1" si="420"/>
        <v>Raven</v>
      </c>
      <c r="M477" t="str">
        <f t="shared" ca="1" si="420"/>
        <v>Raven</v>
      </c>
      <c r="N477" t="str">
        <f t="shared" ca="1" si="420"/>
        <v>Raven</v>
      </c>
      <c r="O477" t="str">
        <f t="shared" ca="1" si="420"/>
        <v>Raven</v>
      </c>
      <c r="P477" t="str">
        <f t="shared" ca="1" si="420"/>
        <v>Raven</v>
      </c>
      <c r="Q477" t="str">
        <f t="shared" ca="1" si="420"/>
        <v>Cameron</v>
      </c>
      <c r="R477" t="str">
        <f t="shared" ca="1" si="420"/>
        <v>Cameron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59F53-F3EC-49FA-A867-6676D08C182A}">
  <sheetPr codeName="Sheet7"/>
  <dimension ref="A1:V51"/>
  <sheetViews>
    <sheetView topLeftCell="E1" zoomScale="90" zoomScaleNormal="90" workbookViewId="0">
      <selection activeCell="W14" sqref="W14"/>
    </sheetView>
  </sheetViews>
  <sheetFormatPr defaultColWidth="10.7109375" defaultRowHeight="15" x14ac:dyDescent="0.25"/>
  <cols>
    <col min="1" max="4" width="0" hidden="1" customWidth="1"/>
    <col min="5" max="16384" width="10.7109375" style="5"/>
  </cols>
  <sheetData>
    <row r="1" spans="1:22" x14ac:dyDescent="0.25">
      <c r="E1" s="42"/>
    </row>
    <row r="2" spans="1:22" x14ac:dyDescent="0.25">
      <c r="E2" s="117" t="s">
        <v>116</v>
      </c>
      <c r="F2" s="107" t="s">
        <v>117</v>
      </c>
      <c r="G2" s="36" t="str">
        <f ca="1">Game!C223</f>
        <v>Jason</v>
      </c>
      <c r="H2" s="112" t="str">
        <f ca="1">IF(Game!F373="",Game!F374&amp;CHAR(10)&amp;Game!F375&amp;CHAR(10)&amp;Game!F376&amp;CHAR(10)&amp;Game!F377,Game!F373&amp;CHAR(10)&amp;Game!F374&amp;CHAR(10)&amp;Game!F375&amp;CHAR(10)&amp;Game!F376)</f>
        <v>Jason
Elena
Christmas
Raven</v>
      </c>
      <c r="I2" s="112" t="str">
        <f ca="1">IF(Game!F495="",Game!F496&amp;CHAR(10)&amp;Game!F497&amp;CHAR(10)&amp;Game!F498&amp;CHAR(10)&amp;Game!F499,Game!F495&amp;CHAR(10)&amp;Game!F496&amp;CHAR(10)&amp;Game!F497&amp;CHAR(10)&amp;Game!F498)</f>
        <v>Elena
Mark
Jason
Cody</v>
      </c>
      <c r="J2" s="112" t="str">
        <f ca="1">IF(Game!F667="",Game!F668&amp;CHAR(10)&amp;Game!F669&amp;CHAR(10)&amp;Game!F670&amp;CHAR(10)&amp;Game!F671,Game!F667&amp;CHAR(10)&amp;Game!F668&amp;CHAR(10)&amp;Game!F669&amp;CHAR(10)&amp;Game!F670)</f>
        <v>Elena
Megan
Ramses
Jason</v>
      </c>
      <c r="K2" s="112" t="str">
        <f ca="1">IF(Game!F776="",Game!F777&amp;CHAR(10)&amp;Game!F778&amp;CHAR(10)&amp;Game!F779&amp;CHAR(10)&amp;Game!F780,Game!F776&amp;CHAR(10)&amp;Game!F777&amp;CHAR(10)&amp;Game!F778&amp;CHAR(10)&amp;Game!F779)</f>
        <v>Alex
Christmas
Jillian
Mark</v>
      </c>
      <c r="L2" s="120" t="str">
        <f ca="1">IF(A8=2,K7,"(none)")</f>
        <v>(none)</v>
      </c>
      <c r="M2" s="112" t="str">
        <f ca="1">Game!F1059&amp;CHAR(10)&amp;Game!F1060&amp;CHAR(10)&amp;Game!F1061&amp;CHAR(10)&amp;Game!F1062</f>
        <v>Megan
Jason
Jillian
Alex</v>
      </c>
      <c r="N2" s="107" t="s">
        <v>117</v>
      </c>
      <c r="O2" s="112" t="str">
        <f ca="1">IF(Game!F1270="",Game!F1268&amp;CHAR(10),"")&amp;Game!F1269&amp;IF(Game!F1268="",CHAR(10)&amp;Game!F1270,"")</f>
        <v>Jason
Christmas</v>
      </c>
      <c r="P2" s="112" t="str">
        <f ca="1">Game!F1386&amp;CHAR(10)&amp;Game!F1387</f>
        <v>Mark
Jason</v>
      </c>
      <c r="Q2" s="95" t="s">
        <v>117</v>
      </c>
      <c r="R2" s="96"/>
      <c r="S2" s="96"/>
      <c r="T2" s="96"/>
      <c r="U2" s="96"/>
      <c r="V2" s="97"/>
    </row>
    <row r="3" spans="1:22" x14ac:dyDescent="0.25">
      <c r="E3" s="118"/>
      <c r="F3" s="109"/>
      <c r="G3" s="44" t="str">
        <f ca="1">Game!C224</f>
        <v>Jessica</v>
      </c>
      <c r="H3" s="112"/>
      <c r="I3" s="112"/>
      <c r="J3" s="112"/>
      <c r="K3" s="112"/>
      <c r="L3" s="120"/>
      <c r="M3" s="112"/>
      <c r="N3" s="109"/>
      <c r="O3" s="112"/>
      <c r="P3" s="112"/>
      <c r="Q3" s="98"/>
      <c r="R3" s="99"/>
      <c r="S3" s="99"/>
      <c r="T3" s="99"/>
      <c r="U3" s="99"/>
      <c r="V3" s="100"/>
    </row>
    <row r="4" spans="1:22" x14ac:dyDescent="0.25">
      <c r="E4" s="118"/>
      <c r="F4" s="109"/>
      <c r="G4" s="44" t="str">
        <f ca="1">Game!C225</f>
        <v>Christmas</v>
      </c>
      <c r="H4" s="112"/>
      <c r="I4" s="112"/>
      <c r="J4" s="112"/>
      <c r="K4" s="112"/>
      <c r="L4" s="120"/>
      <c r="M4" s="112"/>
      <c r="N4" s="109"/>
      <c r="O4" s="112"/>
      <c r="P4" s="112"/>
      <c r="Q4" s="98"/>
      <c r="R4" s="99"/>
      <c r="S4" s="99"/>
      <c r="T4" s="99"/>
      <c r="U4" s="99"/>
      <c r="V4" s="100"/>
    </row>
    <row r="5" spans="1:22" x14ac:dyDescent="0.25">
      <c r="A5" t="str">
        <f ca="1">Game!E303</f>
        <v>Jessica</v>
      </c>
      <c r="E5" s="118"/>
      <c r="F5" s="109"/>
      <c r="G5" s="44" t="str">
        <f ca="1">Game!C226</f>
        <v>Alex</v>
      </c>
      <c r="H5" s="112"/>
      <c r="I5" s="112"/>
      <c r="J5" s="112"/>
      <c r="K5" s="112"/>
      <c r="L5" s="120"/>
      <c r="M5" s="112"/>
      <c r="N5" s="109"/>
      <c r="O5" s="112"/>
      <c r="P5" s="112"/>
      <c r="Q5" s="98"/>
      <c r="R5" s="99"/>
      <c r="S5" s="99"/>
      <c r="T5" s="99"/>
      <c r="U5" s="99"/>
      <c r="V5" s="100"/>
    </row>
    <row r="6" spans="1:22" x14ac:dyDescent="0.25">
      <c r="A6" s="5"/>
      <c r="B6" s="5"/>
      <c r="C6" s="5"/>
      <c r="D6" s="5"/>
      <c r="E6" s="119"/>
      <c r="F6" s="109"/>
      <c r="G6" s="41" t="str">
        <f ca="1">Game!C227</f>
        <v>Elena</v>
      </c>
      <c r="H6" s="112"/>
      <c r="I6" s="112"/>
      <c r="J6" s="112"/>
      <c r="K6" s="112"/>
      <c r="L6" s="120"/>
      <c r="M6" s="112"/>
      <c r="N6" s="109"/>
      <c r="O6" s="112"/>
      <c r="P6" s="112"/>
      <c r="Q6" s="98"/>
      <c r="R6" s="99"/>
      <c r="S6" s="99"/>
      <c r="T6" s="99"/>
      <c r="U6" s="99"/>
      <c r="V6" s="100"/>
    </row>
    <row r="7" spans="1:22" x14ac:dyDescent="0.25">
      <c r="A7" s="5">
        <f ca="1">Game!F253</f>
        <v>2</v>
      </c>
      <c r="B7" s="5">
        <f ca="1">Game!F384</f>
        <v>2</v>
      </c>
      <c r="C7" s="5">
        <f ca="1">Game!F506</f>
        <v>2</v>
      </c>
      <c r="D7" s="5">
        <f ca="1">Game!F678</f>
        <v>1</v>
      </c>
      <c r="E7" s="55" t="s">
        <v>129</v>
      </c>
      <c r="F7" s="108"/>
      <c r="G7" s="45" t="str">
        <f ca="1">Game!F252</f>
        <v>Jason</v>
      </c>
      <c r="H7" s="45" t="str">
        <f ca="1">Game!F383</f>
        <v>Elena</v>
      </c>
      <c r="I7" s="45" t="str">
        <f ca="1">Game!F505</f>
        <v>Elena</v>
      </c>
      <c r="J7" s="45" t="str">
        <f ca="1">Game!F677</f>
        <v>Jason</v>
      </c>
      <c r="K7" s="45" t="str">
        <f ca="1">Game!F786</f>
        <v>Alex</v>
      </c>
      <c r="L7" s="37" t="s">
        <v>117</v>
      </c>
      <c r="M7" s="45" t="str">
        <f ca="1">Game!F1068</f>
        <v>Jason</v>
      </c>
      <c r="N7" s="108"/>
      <c r="O7" s="37" t="s">
        <v>117</v>
      </c>
      <c r="P7" s="37" t="s">
        <v>117</v>
      </c>
      <c r="Q7" s="101"/>
      <c r="R7" s="102"/>
      <c r="S7" s="102"/>
      <c r="T7" s="102"/>
      <c r="U7" s="102"/>
      <c r="V7" s="103"/>
    </row>
    <row r="8" spans="1:22" x14ac:dyDescent="0.25">
      <c r="A8" s="5">
        <f ca="1">Game!F787</f>
        <v>1</v>
      </c>
      <c r="B8" s="5">
        <f ca="1">Game!F1069</f>
        <v>2</v>
      </c>
      <c r="D8" s="5"/>
      <c r="E8" s="113"/>
      <c r="F8" s="93" t="s">
        <v>118</v>
      </c>
      <c r="G8" s="94"/>
      <c r="H8" s="113" t="s">
        <v>128</v>
      </c>
      <c r="I8" s="113" t="s">
        <v>145</v>
      </c>
      <c r="J8" s="113" t="s">
        <v>162</v>
      </c>
      <c r="K8" s="113" t="s">
        <v>165</v>
      </c>
      <c r="L8" s="113" t="s">
        <v>174</v>
      </c>
      <c r="M8" s="93" t="s">
        <v>176</v>
      </c>
      <c r="N8" s="94"/>
      <c r="O8" s="113" t="s">
        <v>178</v>
      </c>
      <c r="P8" s="113" t="s">
        <v>183</v>
      </c>
      <c r="Q8" s="93" t="s">
        <v>185</v>
      </c>
      <c r="R8" s="94"/>
      <c r="S8" s="93" t="s">
        <v>242</v>
      </c>
      <c r="T8" s="94"/>
      <c r="U8" s="93" t="s">
        <v>243</v>
      </c>
      <c r="V8" s="94"/>
    </row>
    <row r="9" spans="1:22" x14ac:dyDescent="0.25">
      <c r="A9" s="5"/>
      <c r="B9" s="5"/>
      <c r="C9" s="5"/>
      <c r="D9" s="5"/>
      <c r="E9" s="113"/>
      <c r="F9" s="35" t="s">
        <v>125</v>
      </c>
      <c r="G9" s="35" t="s">
        <v>126</v>
      </c>
      <c r="H9" s="113"/>
      <c r="I9" s="113"/>
      <c r="J9" s="113"/>
      <c r="K9" s="113"/>
      <c r="L9" s="113"/>
      <c r="M9" s="55" t="s">
        <v>179</v>
      </c>
      <c r="N9" s="55" t="s">
        <v>180</v>
      </c>
      <c r="O9" s="113"/>
      <c r="P9" s="113"/>
      <c r="Q9" s="72" t="s">
        <v>241</v>
      </c>
      <c r="R9" s="72" t="s">
        <v>222</v>
      </c>
      <c r="S9" s="72" t="s">
        <v>244</v>
      </c>
      <c r="T9" s="72" t="s">
        <v>245</v>
      </c>
      <c r="U9" s="72" t="s">
        <v>240</v>
      </c>
      <c r="V9" s="72" t="s">
        <v>246</v>
      </c>
    </row>
    <row r="10" spans="1:22" x14ac:dyDescent="0.25">
      <c r="A10" s="5" t="str">
        <f ca="1">Game!E343</f>
        <v>Raven</v>
      </c>
      <c r="B10" s="5"/>
      <c r="C10" s="5"/>
      <c r="D10" s="5"/>
      <c r="E10" s="35" t="s">
        <v>119</v>
      </c>
      <c r="F10" s="37" t="s">
        <v>117</v>
      </c>
      <c r="G10" s="37" t="str">
        <f ca="1">A10</f>
        <v>Raven</v>
      </c>
      <c r="H10" s="37" t="str">
        <f ca="1">Game!H368</f>
        <v>Josh</v>
      </c>
      <c r="I10" s="37" t="str">
        <f ca="1">Game!H490</f>
        <v>Ramses</v>
      </c>
      <c r="J10" s="37" t="str">
        <f ca="1">Game!H662</f>
        <v>Cody</v>
      </c>
      <c r="K10" s="37" t="str">
        <f ca="1">Game!H771</f>
        <v>Josh</v>
      </c>
      <c r="L10" s="37" t="str">
        <f ca="1">Game!H916</f>
        <v>Christmas</v>
      </c>
      <c r="M10" s="37" t="str">
        <f ca="1">Game!H1050</f>
        <v>Raven</v>
      </c>
      <c r="N10" s="37" t="str">
        <f ca="1">Game!H1182</f>
        <v>Jessica</v>
      </c>
      <c r="O10" s="37" t="str">
        <f ca="1">Game!H1260</f>
        <v>Jason</v>
      </c>
      <c r="P10" s="37" t="str">
        <f ca="1">Game!H1376</f>
        <v>Raven</v>
      </c>
      <c r="Q10" s="37" t="str">
        <f ca="1">Game!H1487</f>
        <v>Cody</v>
      </c>
      <c r="R10" s="37" t="str">
        <f ca="1">Game!H1595</f>
        <v>Jessica</v>
      </c>
      <c r="S10" s="37" t="str">
        <f ca="1">Game!H1658</f>
        <v>Raven</v>
      </c>
      <c r="T10" s="37" t="str">
        <f ca="1">Game!H1719</f>
        <v>Cameron</v>
      </c>
      <c r="U10" s="37" t="str">
        <f ca="1">Game!H1788</f>
        <v>Cameron</v>
      </c>
      <c r="V10" s="107" t="s">
        <v>117</v>
      </c>
    </row>
    <row r="11" spans="1:22" x14ac:dyDescent="0.25">
      <c r="B11" s="5"/>
      <c r="C11" s="5"/>
      <c r="D11" s="5"/>
      <c r="E11" s="35" t="s">
        <v>127</v>
      </c>
      <c r="F11" s="37" t="str">
        <f ca="1">Game!G52</f>
        <v>Alex</v>
      </c>
      <c r="G11" s="37" t="str">
        <f ca="1">Game!G261</f>
        <v>Jason</v>
      </c>
      <c r="H11" s="37" t="str">
        <f ca="1">Game!G387</f>
        <v>Raven</v>
      </c>
      <c r="I11" s="37" t="str">
        <f ca="1">Game!G509</f>
        <v>Matt</v>
      </c>
      <c r="J11" s="37" t="s">
        <v>117</v>
      </c>
      <c r="K11" s="37" t="str">
        <f ca="1">Game!F819</f>
        <v>Christmas</v>
      </c>
      <c r="L11" s="37" t="str">
        <f ca="1">Game!F959</f>
        <v>Jessica</v>
      </c>
      <c r="M11" s="37" t="str">
        <f ca="1">Game!F1092</f>
        <v>Matt</v>
      </c>
      <c r="N11" s="37" t="s">
        <v>117</v>
      </c>
      <c r="O11" s="37" t="str">
        <f ca="1">IF(Game!D1289="","(Not Taken)",Game!D1289)</f>
        <v>Matt</v>
      </c>
      <c r="P11" s="37" t="str">
        <f ca="1">IF(Game!E1394="","(Not Taken)",Game!E1394)</f>
        <v>Jason</v>
      </c>
      <c r="Q11" s="37" t="str">
        <f ca="1">IF(Game!G1506="","(Not Taken)",Game!D1500)</f>
        <v>Raven</v>
      </c>
      <c r="R11" s="110" t="s">
        <v>117</v>
      </c>
      <c r="S11" s="111"/>
      <c r="T11" s="111"/>
      <c r="U11" s="111"/>
      <c r="V11" s="109"/>
    </row>
    <row r="12" spans="1:22" ht="15" customHeight="1" x14ac:dyDescent="0.25">
      <c r="A12" s="5"/>
      <c r="B12" s="5"/>
      <c r="C12" s="5"/>
      <c r="D12" s="5"/>
      <c r="E12" s="114" t="s">
        <v>120</v>
      </c>
      <c r="F12" s="38" t="str">
        <f ca="1">Game!F132</f>
        <v>Dominique</v>
      </c>
      <c r="G12" s="38" t="str">
        <f ca="1">Game!G276</f>
        <v>Paul</v>
      </c>
      <c r="H12" s="104" t="str">
        <f ca="1">Game!G397&amp;CHAR(10)&amp;Game!G399&amp;IF(Game!F407="","",CHAR(10)&amp;Game!F407)</f>
        <v>Elena
Paul</v>
      </c>
      <c r="I12" s="104" t="str">
        <f ca="1">Game!F519&amp;CHAR(10)&amp;Game!F520&amp;IF(Game!F521="","",CHAR(10)&amp;Game!F521)</f>
        <v>Cameron
Cody</v>
      </c>
      <c r="J12" s="104" t="str">
        <f ca="1">Game!F679&amp;CHAR(10)&amp;Game!F680&amp;IF(Game!F681="","",CHAR(10)&amp;Game!F681)</f>
        <v>Christmas
Ramses</v>
      </c>
      <c r="K12" s="50" t="str">
        <f ca="1">Game!F823</f>
        <v>Elena</v>
      </c>
      <c r="L12" s="53" t="str">
        <f ca="1">Game!F963</f>
        <v>Cody</v>
      </c>
      <c r="M12" s="61" t="str">
        <f ca="1">Game!F1096</f>
        <v>Megan</v>
      </c>
      <c r="N12" s="104" t="str">
        <f ca="1">Game!G1187&amp;CHAR(10)&amp;Game!G1189</f>
        <v>Megan
Alex</v>
      </c>
      <c r="O12" s="104" t="str">
        <f ca="1">Game!G1293&amp;CHAR(10)&amp;Game!G1295</f>
        <v>Cameron
Christmas</v>
      </c>
      <c r="P12" s="104" t="str">
        <f ca="1">Game!G1405&amp;CHAR(10)&amp;Game!G1407</f>
        <v>Mark
Matt</v>
      </c>
      <c r="Q12" s="104" t="str">
        <f ca="1">Game!G1512&amp;CHAR(10)&amp;Game!G1514</f>
        <v>Alex
Jason</v>
      </c>
      <c r="R12" s="104" t="str">
        <f ca="1">Game!G1600&amp;CHAR(10)&amp;Game!G1602</f>
        <v>Alex
Matt</v>
      </c>
      <c r="S12" s="104" t="str">
        <f ca="1">Game!G1663&amp;CHAR(10)&amp;Game!G1665</f>
        <v>Matt
Cameron</v>
      </c>
      <c r="T12" s="104" t="str">
        <f ca="1">Game!G1724&amp;CHAR(10)&amp;Game!G1726</f>
        <v>Jessica
Raven</v>
      </c>
      <c r="U12" s="104" t="str">
        <f ca="1">Game!G1793&amp;CHAR(10)&amp;Game!H1793</f>
        <v>Jessica
Raven</v>
      </c>
      <c r="V12" s="109"/>
    </row>
    <row r="13" spans="1:22" ht="15" customHeight="1" x14ac:dyDescent="0.25">
      <c r="A13" s="5" t="str">
        <f ca="1">Game!E344</f>
        <v>Christmas</v>
      </c>
      <c r="B13" s="5"/>
      <c r="C13" s="5"/>
      <c r="D13" s="5"/>
      <c r="E13" s="115"/>
      <c r="F13" s="39" t="str">
        <f ca="1">Game!F133</f>
        <v>Josh</v>
      </c>
      <c r="G13" s="39" t="str">
        <f ca="1">Game!G277</f>
        <v>Megan</v>
      </c>
      <c r="H13" s="105"/>
      <c r="I13" s="105"/>
      <c r="J13" s="105"/>
      <c r="K13" s="51" t="str">
        <f ca="1">Game!F824</f>
        <v>Mark</v>
      </c>
      <c r="L13" s="54" t="str">
        <f ca="1">Game!F964</f>
        <v>Megan</v>
      </c>
      <c r="M13" s="62" t="str">
        <f ca="1">Game!F1097</f>
        <v>Mark</v>
      </c>
      <c r="N13" s="105"/>
      <c r="O13" s="105"/>
      <c r="P13" s="105"/>
      <c r="Q13" s="105"/>
      <c r="R13" s="105"/>
      <c r="S13" s="105"/>
      <c r="T13" s="105"/>
      <c r="U13" s="105"/>
      <c r="V13" s="109"/>
    </row>
    <row r="14" spans="1:22" ht="15" customHeight="1" x14ac:dyDescent="0.25">
      <c r="A14" s="5"/>
      <c r="B14" s="5"/>
      <c r="C14" s="5"/>
      <c r="D14" s="5"/>
      <c r="E14" s="116"/>
      <c r="F14" s="40" t="str">
        <f ca="1">Game!F134</f>
        <v>Elena</v>
      </c>
      <c r="G14" s="46" t="str">
        <f ca="1">Game!F228</f>
        <v>Kevin</v>
      </c>
      <c r="H14" s="106"/>
      <c r="I14" s="106"/>
      <c r="J14" s="106"/>
      <c r="K14" s="49" t="str">
        <f ca="1">Game!F820</f>
        <v>Raven</v>
      </c>
      <c r="L14" s="49" t="str">
        <f ca="1">Game!F965</f>
        <v>Alex</v>
      </c>
      <c r="M14" s="49" t="str">
        <f ca="1">Game!F1098</f>
        <v>Jillian</v>
      </c>
      <c r="N14" s="106"/>
      <c r="O14" s="106"/>
      <c r="P14" s="106"/>
      <c r="Q14" s="106"/>
      <c r="R14" s="106"/>
      <c r="S14" s="106"/>
      <c r="T14" s="106"/>
      <c r="U14" s="106"/>
      <c r="V14" s="109"/>
    </row>
    <row r="15" spans="1:22" x14ac:dyDescent="0.25">
      <c r="A15" s="5"/>
      <c r="B15" s="5"/>
      <c r="C15" s="5"/>
      <c r="D15" s="5"/>
      <c r="E15" s="117" t="s">
        <v>121</v>
      </c>
      <c r="F15" s="107" t="s">
        <v>117</v>
      </c>
      <c r="G15" s="107" t="str">
        <f ca="1">A13</f>
        <v>Christmas</v>
      </c>
      <c r="H15" s="107" t="str">
        <f ca="1">Game!H423</f>
        <v>Christmas</v>
      </c>
      <c r="I15" s="107" t="str">
        <f ca="1">Game!H547</f>
        <v>Elena</v>
      </c>
      <c r="J15" s="107" t="str">
        <f ca="1">Game!H703</f>
        <v>Megan</v>
      </c>
      <c r="K15" s="107" t="str">
        <f ca="1">Game!H846</f>
        <v>Raven</v>
      </c>
      <c r="L15" s="107" t="str">
        <f ca="1">Game!H982</f>
        <v>Cody</v>
      </c>
      <c r="M15" s="107" t="str">
        <f ca="1">Game!E1131</f>
        <v>Megan</v>
      </c>
      <c r="N15" s="107" t="str">
        <f ca="1">Game!H1210</f>
        <v>Mark</v>
      </c>
      <c r="O15" s="104" t="str">
        <f ca="1">Game!H1317&amp;IF(Game!G1287=Game!G1282,CHAR(10)&amp;Game!H1316,"")</f>
        <v>Jason
Cody</v>
      </c>
      <c r="P15" s="104" t="str">
        <f ca="1">Game!H1429&amp;IF(Game!D1435="","",CHAR(10)&amp;Game!D1435)</f>
        <v>Raven</v>
      </c>
      <c r="Q15" s="104" t="str">
        <f ca="1">Game!D1542&amp;IF(Game!D1543="","",CHAR(10)&amp;Game!D1543)</f>
        <v>Alex</v>
      </c>
      <c r="R15" s="107" t="str">
        <f ca="1">Game!H1616</f>
        <v>Matt</v>
      </c>
      <c r="S15" s="107" t="str">
        <f ca="1">Game!H1675</f>
        <v>Cameron</v>
      </c>
      <c r="T15" s="107" t="str">
        <f ca="1">Game!H1735</f>
        <v>Raven</v>
      </c>
      <c r="U15" s="107" t="s">
        <v>117</v>
      </c>
      <c r="V15" s="109"/>
    </row>
    <row r="16" spans="1:22" x14ac:dyDescent="0.25">
      <c r="E16" s="119"/>
      <c r="F16" s="109"/>
      <c r="G16" s="108"/>
      <c r="H16" s="108"/>
      <c r="I16" s="108"/>
      <c r="J16" s="108"/>
      <c r="K16" s="108"/>
      <c r="L16" s="108"/>
      <c r="M16" s="108"/>
      <c r="N16" s="108"/>
      <c r="O16" s="106"/>
      <c r="P16" s="106"/>
      <c r="Q16" s="106"/>
      <c r="R16" s="108"/>
      <c r="S16" s="108"/>
      <c r="T16" s="108"/>
      <c r="U16" s="109"/>
      <c r="V16" s="109"/>
    </row>
    <row r="17" spans="1:22" ht="15" customHeight="1" x14ac:dyDescent="0.25">
      <c r="A17" s="5"/>
      <c r="B17" s="5"/>
      <c r="C17" s="5"/>
      <c r="D17" s="5"/>
      <c r="E17" s="114" t="s">
        <v>122</v>
      </c>
      <c r="F17" s="109"/>
      <c r="G17" s="104" t="str">
        <f ca="1">Game!G315&amp;CHAR(10)&amp;Game!G316</f>
        <v>Paul
Megan</v>
      </c>
      <c r="H17" s="104" t="str">
        <f ca="1">Game!G432&amp;CHAR(10)&amp;Game!G433&amp;IF(Game!G434="","",CHAR(10)&amp;Game!G434)</f>
        <v>Elena
Paul</v>
      </c>
      <c r="I17" s="104" t="str">
        <f ca="1">Game!G556&amp;CHAR(10)&amp;Game!G557&amp;IF(Game!G558="","",CHAR(10)&amp;Game!G558)</f>
        <v>Cameron
Mark</v>
      </c>
      <c r="J17" s="104" t="str">
        <f ca="1">Game!G712&amp;CHAR(10)&amp;Game!G713&amp;IF(Game!G714="","",CHAR(10)&amp;Game!G714)</f>
        <v>Christmas
Ramses</v>
      </c>
      <c r="K17" s="104" t="str">
        <f ca="1">Game!G855&amp;CHAR(10)&amp;Game!G856&amp;IF(Game!G857="","",CHAR(10)&amp;Game!G857)</f>
        <v>Elena
Mark</v>
      </c>
      <c r="L17" s="104" t="str">
        <f ca="1">A40&amp;CHAR(10)&amp;A41&amp;IF(A42="","",CHAR(10)&amp;A42)</f>
        <v>Josh
Megan
Alex</v>
      </c>
      <c r="M17" s="104" t="str">
        <f ca="1">B40&amp;CHAR(10)&amp;B41&amp;IF(B42="","",CHAR(10)&amp;B42)</f>
        <v>Jason
Mark
Jillian</v>
      </c>
      <c r="N17" s="104" t="str">
        <f ca="1">Game!G1219&amp;CHAR(10)&amp;Game!G1220</f>
        <v>Megan
Matt</v>
      </c>
      <c r="O17" s="104" t="str">
        <f ca="1">Game!G1329&amp;CHAR(10)&amp;Game!G1330</f>
        <v>Raven
Christmas</v>
      </c>
      <c r="P17" s="104" t="str">
        <f ca="1">Game!G1441&amp;CHAR(10)&amp;Game!G1442</f>
        <v>Mark
Matt</v>
      </c>
      <c r="Q17" s="104" t="str">
        <f ca="1">Game!G1549&amp;CHAR(10)&amp;Game!G1550</f>
        <v>Jessica
Jason</v>
      </c>
      <c r="R17" s="104" t="str">
        <f ca="1">Game!G1625&amp;CHAR(10)&amp;Game!G1626</f>
        <v>Alex
Cameron</v>
      </c>
      <c r="S17" s="104" t="str">
        <f ca="1">Game!G1684&amp;CHAR(10)&amp;Game!G1685</f>
        <v>Matt
Cody</v>
      </c>
      <c r="T17" s="104" t="str">
        <f ca="1">Game!G1744&amp;CHAR(10)&amp;Game!G1745</f>
        <v>Jessica
Cody</v>
      </c>
      <c r="U17" s="109"/>
      <c r="V17" s="109"/>
    </row>
    <row r="18" spans="1:22" x14ac:dyDescent="0.25">
      <c r="A18" s="5"/>
      <c r="B18" s="5"/>
      <c r="C18" s="5"/>
      <c r="D18" s="5"/>
      <c r="E18" s="115"/>
      <c r="F18" s="109"/>
      <c r="G18" s="105"/>
      <c r="H18" s="105"/>
      <c r="I18" s="105"/>
      <c r="J18" s="105"/>
      <c r="K18" s="105"/>
      <c r="L18" s="105"/>
      <c r="M18" s="105"/>
      <c r="N18" s="105"/>
      <c r="O18" s="105"/>
      <c r="P18" s="105"/>
      <c r="Q18" s="105"/>
      <c r="R18" s="105"/>
      <c r="S18" s="105"/>
      <c r="T18" s="105"/>
      <c r="U18" s="109"/>
      <c r="V18" s="109"/>
    </row>
    <row r="19" spans="1:22" x14ac:dyDescent="0.25">
      <c r="A19" s="5"/>
      <c r="B19" s="5"/>
      <c r="C19" s="5"/>
      <c r="D19" s="5"/>
      <c r="E19" s="116"/>
      <c r="F19" s="108"/>
      <c r="G19" s="106"/>
      <c r="H19" s="106"/>
      <c r="I19" s="106"/>
      <c r="J19" s="106"/>
      <c r="K19" s="106"/>
      <c r="L19" s="106"/>
      <c r="M19" s="106"/>
      <c r="N19" s="106"/>
      <c r="O19" s="106"/>
      <c r="P19" s="106"/>
      <c r="Q19" s="106"/>
      <c r="R19" s="106"/>
      <c r="S19" s="106"/>
      <c r="T19" s="106"/>
      <c r="U19" s="108"/>
      <c r="V19" s="108"/>
    </row>
    <row r="20" spans="1:22" ht="4.5" customHeight="1" x14ac:dyDescent="0.25">
      <c r="A20" s="5"/>
      <c r="B20" s="5"/>
      <c r="C20" s="5"/>
      <c r="D20" s="5"/>
      <c r="E20" s="43"/>
      <c r="F20" s="43"/>
      <c r="G20" s="43"/>
      <c r="H20" s="43"/>
      <c r="I20" s="43"/>
      <c r="J20" s="43"/>
      <c r="K20" s="43"/>
      <c r="L20" s="43"/>
      <c r="M20" s="43"/>
      <c r="N20" s="43"/>
      <c r="O20" s="43"/>
      <c r="P20" s="43"/>
      <c r="Q20" s="43"/>
      <c r="R20" s="43"/>
      <c r="S20" s="43"/>
      <c r="T20" s="43"/>
      <c r="U20" s="43"/>
      <c r="V20" s="43"/>
    </row>
    <row r="21" spans="1:22" x14ac:dyDescent="0.25">
      <c r="A21" s="5" t="str">
        <f>Game!G20</f>
        <v>Paul</v>
      </c>
      <c r="B21" s="5" t="str">
        <f ca="1">Game!G195</f>
        <v>Matt</v>
      </c>
      <c r="C21" s="5"/>
      <c r="D21" s="5"/>
      <c r="E21" s="35" t="str">
        <f ca="1">Game!G1883</f>
        <v>Cameron</v>
      </c>
      <c r="F21" s="48" t="str">
        <f ca="1">IF(COUNTIF($F$12:$F$14,$E21)=1,"Nominated",IF(Game!$F$139="Comp","No Voting",IF($E21=$A$21,IF(COUNTIF($F$40,"*14")=1,$F$39,"Not Elig."),INDEX(Game!$H$142:$H$154,MATCH('Voting Table'!$E21,Game!$E$142:$E$154,0)))))</f>
        <v>No Voting</v>
      </c>
      <c r="G21" s="48" t="str">
        <f ca="1">IF($E21=F$39,"Day 1",IF(COUNTIF(C$29:C$30,$E21)=1,"Nominated",IF(G$10=$E21,IF(COUNTIF(G$40,"*of 13")=1,G$39,"HOH"),INDEX(Game!$H$321:$H$332,MATCH('Voting Table'!$E21,Game!$E$321:$E$332,0)))))</f>
        <v>Paul</v>
      </c>
      <c r="H21" s="48" t="str">
        <f ca="1">IF(E21="","",IF(G21="Day 1","",IF($E21=G$39,"Day 16",IF(COUNTIF(D$29:D$31,$E21)=1,"Nominated",IF(H$10=$E21,IF(D$28="T",H$39,"HOH"),INDEX(Game!$H$439:$H$449,MATCH('Voting Table'!$E21,Game!$E$439:$E$449,0)))))))</f>
        <v>Paul</v>
      </c>
      <c r="I21" s="48" t="str">
        <f ca="1">IF(E21="","",IF(COUNTIF(G21:H21,"Day*")=1,"",IF($E21=H$39,"Day 23",IF(COUNTIF(A$33:A$35,$E21)=1,"Nominated",IF(I$10=$E21,IF(A$32="T",I$39,"HOH"),IF(I$39="Eviction","No Voting",INDEX(Game!$H$565:$H$574,MATCH('Voting Table'!$E21,Game!$E$565:$E$574,0))))))))</f>
        <v>Nominated</v>
      </c>
      <c r="J21" s="52" t="str">
        <f ca="1">IF(COUNTIF(Game!E616:E619,$E21),IF($E21=I$39,"Day 30",""),IF(COUNTIF(B$33:B$35,$E21)=1,"Nominated",IF(J$10=$E21,IF(B$32="T",J$39,"HOH"),IF(J$39="Eviction","No Voting",INDEX(Game!$H$721:$H$731,MATCH('Voting Table'!$E21,Game!$E$721:$E$731,0))))))</f>
        <v>Ramses</v>
      </c>
      <c r="K21" s="48" t="str">
        <f ca="1">IF(COUNTIF(C$33:C$35,$E21)=1,"Nominated",IF($E21=K$10,IF(C$32="T",K$39,"HOH"),IF(K$39="Eviction","No Voting",INDEX(Game!$H$864:$H$873,MATCH($E21,Game!$E$864:$E$873,0)))))</f>
        <v>Elena</v>
      </c>
      <c r="L21" s="48" t="str">
        <f ca="1">IF(COUNTIF(A$40:A$42,$E21)=1,"Nominated",IF($E21=L$10,IF(A$39="T",L$39,"HOH"),IF(L$39="Eviction","No Voting",INDEX(Game!$H$1000:$H$1008,MATCH($E21,Game!$E$1003:$E$1011,0)))))</f>
        <v>Josh</v>
      </c>
      <c r="M21" s="48" t="str">
        <f ca="1">IF(COUNTIF(B$40:B$42,$E21)=1,"Nominated",IF($E21=M$10,IF(B$39="T",M$39,"HOH"),IF(M$39="Eviction","No Voting",INDEX(Game!$H$1134:$H$1141,MATCH($E21,Game!$E$1134:$E$1141,0)))))</f>
        <v>Jason</v>
      </c>
      <c r="N21" s="48" t="str">
        <f ca="1">IF(COUNTIF(C$40:C$42,$E21)=1,"Nominated",IF($E21=N$10,IF(C$39="T",N$39,"HOH"),IF(N$39="Eviction","No Voting",INDEX(Game!$H$1227:$H$1233,MATCH($E21,Game!$F$1227:$F$1233,0)))))</f>
        <v>Megan</v>
      </c>
      <c r="O21" s="48" t="str">
        <f ca="1">IF(COUNTIF(D$40:D$42,$E21)=1,"Nominated",IF($E21=O$10,IF(D$39="T",O$39,"HOH"),IF(COUNTIF(Game!$F$1338:$F$1343,E21)=0,"Ineligible",INDEX(Game!$H$1338:$H$1343,MATCH($E21,Game!$F$1338:$F$1343,0)))))</f>
        <v>Christmas</v>
      </c>
      <c r="P21" s="48" t="str">
        <f ca="1">IF(COUNTIF(A$45:A$46,$E21)=1,"Nominated",IF($E21=P$10,IF(A$44="T",P$39,"HOH"),IF(COUNTIF(Game!$F$1450:$F$1454,E21)=0,"Ineligible",INDEX(Game!$H$1450:$H$1454,MATCH($E21,Game!$F$1450:$F$1454,0)))))</f>
        <v>Mark</v>
      </c>
      <c r="Q21" s="48" t="str">
        <f ca="1">IF(COUNTIF(B$45:B$46,$E21)=1,"Nominated",IF($E21=Q$10,IF(B$44="T",Q$39,"HOH"),IF(COUNTIF(Game!$F$1558:$F$1565,E21)=0,"Ineligible",INDEX(Game!$H$1558:$H$1565,MATCH($E21,Game!$F$1558:$F$1565,0)))))</f>
        <v>Jason</v>
      </c>
      <c r="R21" s="48" t="str">
        <f ca="1">IF(COUNTIF(C$45:C$46,$E21)=1,"Nominated",IF($E21=R$10,IF(C$44="T",R$39,"HOH"),INDEX(Game!$H$1631:$H$1633,MATCH($E21,Game!$F$1631:$F$1633,0))))</f>
        <v>Nominated</v>
      </c>
      <c r="S21" s="48" t="str">
        <f ca="1">IF(COUNTIF(D$45:D$46,$E21)=1,"Nominated",IF($E21=S$10,IF(D$44="T",S$39,"HOH"),INDEX(Game!$H$1690:$H$1695,MATCH($E21,Game!$F$1690:$F$1695,0))))</f>
        <v>Matt</v>
      </c>
      <c r="T21" s="48" t="str">
        <f ca="1">IF(COUNTIF(A$50:A$51,$E21)=1,"Nominated",IF($E21=T$10,"HOH",T$39))</f>
        <v>HOH</v>
      </c>
      <c r="U21" s="48" t="str">
        <f ca="1">IF(E21=U10,U39,"Nominated")</f>
        <v>Jessica</v>
      </c>
      <c r="V21" s="82" t="s">
        <v>248</v>
      </c>
    </row>
    <row r="22" spans="1:22" x14ac:dyDescent="0.25">
      <c r="A22" s="5" t="str">
        <f ca="1">Game!G71</f>
        <v>Megan</v>
      </c>
      <c r="B22" s="5" t="str">
        <f ca="1">Game!G261</f>
        <v>Jason</v>
      </c>
      <c r="C22" s="5"/>
      <c r="D22" s="5"/>
      <c r="E22" s="72" t="str">
        <f ca="1">Game!H1883</f>
        <v>Raven</v>
      </c>
      <c r="F22" s="48" t="str">
        <f ca="1">IF(COUNTIF($F$12:$F$14,$E22)=1,"Nominated",IF(Game!$F$139="Comp","No Voting",IF($E22=$A$21,IF(COUNTIF($F$40,"*14")=1,$F$39,"Not Elig."),INDEX(Game!$H$142:$H$154,MATCH('Voting Table'!$E22,Game!$E$142:$E$154,0)))))</f>
        <v>No Voting</v>
      </c>
      <c r="G22" s="48" t="str">
        <f ca="1">IF($E22=F$39,"Day 1",IF(COUNTIF(C$29:C$30,$E22)=1,"Nominated",IF(G$10=$E22,IF(COUNTIF(G$40,"*of 13")=1,G$39,"HOH"),INDEX(Game!$H$321:$H$332,MATCH('Voting Table'!$E22,Game!$E$321:$E$332,0)))))</f>
        <v>HOH</v>
      </c>
      <c r="H22" s="48" t="str">
        <f ca="1">IF(E22="","",IF(G22="Day 1","",IF($E22=G$39,"Day 16",IF(COUNTIF(D$29:D$31,$E22)=1,"Nominated",IF(H$10=$E22,IF(D$28="T",H$39,"HOH"),INDEX(Game!$H$439:$H$449,MATCH('Voting Table'!$E22,Game!$E$439:$E$449,0)))))))</f>
        <v>Paul</v>
      </c>
      <c r="I22" s="48" t="str">
        <f ca="1">IF(E22="","",IF(COUNTIF(G22:H22,"Day*")=1,"",IF($E22=H$39,"Day 23",IF(COUNTIF(A$33:A$35,$E22)=1,"Nominated",IF(I$10=$E22,IF(A$32="T",I$39,"HOH"),IF(I$39="Eviction","No Voting",INDEX(Game!$H$565:$H$574,MATCH('Voting Table'!$E22,Game!$E$565:$E$574,0))))))))</f>
        <v>No Voting</v>
      </c>
      <c r="J22" s="52" t="str">
        <f ca="1">IF(COUNTIF(Game!E617:E620,$E22),IF($E22=I$39,"Day 30",""),IF(COUNTIF(B$33:B$35,$E22)=1,"Nominated",IF(J$10=$E22,IF(B$32="T",J$39,"HOH"),IF(J$39="Eviction","No Voting",INDEX(Game!$H$721:$H$731,MATCH('Voting Table'!$E22,Game!$E$721:$E$731,0))))))</f>
        <v>Christmas</v>
      </c>
      <c r="K22" s="48" t="str">
        <f ca="1">IF(COUNTIF(C$33:C$35,$E22)=1,"Nominated",IF($E22=K$10,IF(C$32="T",K$39,"HOH"),IF(K$39="Eviction","No Voting",INDEX(Game!$H$864:$H$873,MATCH($E22,Game!$E$864:$E$873,0)))))</f>
        <v>Mark</v>
      </c>
      <c r="L22" s="48" t="str">
        <f ca="1">IF(COUNTIF(A$40:A$42,$E22)=1,"Nominated",IF($E22=L$10,IF(A$39="T",L$39,"HOH"),IF(L$39="Eviction","No Voting",INDEX(Game!$H$1000:$H$1008,MATCH($E22,Game!$E$1003:$E$1011,0)))))</f>
        <v>Megan</v>
      </c>
      <c r="M22" s="48" t="str">
        <f ca="1">IF(COUNTIF(B$40:B$42,$E22)=1,"Nominated",IF($E22=M$10,IF(B$39="T",M$39,"HOH"),IF(M$39="Eviction","No Voting",INDEX(Game!$H$1134:$H$1141,MATCH($E22,Game!$E$1134:$E$1141,0)))))</f>
        <v>HOH</v>
      </c>
      <c r="N22" s="48" t="str">
        <f ca="1">IF(COUNTIF(C$40:C$42,$E22)=1,"Nominated",IF($E22=N$10,IF(C$39="T",N$39,"HOH"),IF(N$39="Eviction","No Voting",INDEX(Game!$H$1227:$H$1233,MATCH($E22,Game!$F$1227:$F$1233,0)))))</f>
        <v>Megan</v>
      </c>
      <c r="O22" s="48" t="str">
        <f ca="1">IF(COUNTIF(D$40:D$42,$E22)=1,"Nominated",IF($E22=O$10,IF(D$39="T",O$39,"HOH"),IF(COUNTIF(Game!$F$1338:$F$1343,E22)=0,"Ineligible",INDEX(Game!$H$1338:$H$1343,MATCH($E22,Game!$F$1338:$F$1343,0)))))</f>
        <v>Nominated</v>
      </c>
      <c r="P22" s="48" t="str">
        <f ca="1">IF(COUNTIF(A$45:A$46,$E22)=1,"Nominated",IF($E22=P$10,IF(A$44="T",P$39,"HOH"),IF(COUNTIF(Game!$F$1450:$F$1454,E22)=0,"Ineligible",INDEX(Game!$H$1450:$H$1454,MATCH($E22,Game!$F$1450:$F$1454,0)))))</f>
        <v>HOH</v>
      </c>
      <c r="Q22" s="48" t="str">
        <f ca="1">IF(COUNTIF(B$45:B$46,$E22)=1,"Nominated",IF($E22=Q$10,IF(B$44="T",Q$39,"HOH"),IF(COUNTIF(Game!$F$1558:$F$1565,E22)=0,"Ineligible",INDEX(Game!$H$1558:$H$1565,MATCH($E22,Game!$F$1558:$F$1565,0)))))</f>
        <v>Jason</v>
      </c>
      <c r="R22" s="48" t="str">
        <f ca="1">IF(COUNTIF(C$45:C$46,$E22)=1,"Nominated",IF($E22=R$10,IF(C$44="T",R$39,"HOH"),INDEX(Game!$H$1631:$H$1633,MATCH($E22,Game!$F$1631:$F$1633,0))))</f>
        <v>Alex</v>
      </c>
      <c r="S22" s="48" t="str">
        <f ca="1">IF(COUNTIF(D$45:D$46,$E22)=1,"Nominated",IF($E22=S$10,IF(D$44="T",S$39,"HOH"),INDEX(Game!$H$1690:$H$1695,MATCH($E22,Game!$F$1690:$F$1695,0))))</f>
        <v>HOH</v>
      </c>
      <c r="T22" s="48" t="str">
        <f ca="1">IF(COUNTIF(A$50:A$51,$E22)=1,"Nominated",IF($E22=T$10,"HOH",T$39))</f>
        <v>Cody</v>
      </c>
      <c r="U22" s="48" t="str">
        <f ca="1">IF(E22=U10,U39,"Nominated")</f>
        <v>Nominated</v>
      </c>
      <c r="V22" s="83" t="s">
        <v>249</v>
      </c>
    </row>
    <row r="23" spans="1:22" x14ac:dyDescent="0.25">
      <c r="A23" s="5" t="str">
        <f ca="1">Game!G72</f>
        <v>Jillian</v>
      </c>
      <c r="B23" s="5"/>
      <c r="C23" s="5"/>
      <c r="D23" s="5"/>
      <c r="E23" s="64" t="str">
        <f ca="1">Game!I1883</f>
        <v>Jessica</v>
      </c>
      <c r="F23" s="48" t="str">
        <f ca="1">IF(COUNTIF($F$12:$F$14,$E23)=1,"Nominated",IF(Game!$F$139="Comp","No Voting",IF($E23=$A$21,IF(COUNTIF($F$40,"*14")=1,$F$39,"Not Elig."),INDEX(Game!$H$142:$H$154,MATCH('Voting Table'!$E23,Game!$E$142:$E$154,0)))))</f>
        <v>No Voting</v>
      </c>
      <c r="G23" s="48" t="str">
        <f ca="1">IF($E23=F$39,"Day 1",IF(COUNTIF(C$29:C$30,$E23)=1,"Nominated",IF(G$10=$E23,IF(COUNTIF(G$40,"*of 13")=1,G$39,"HOH"),INDEX(Game!$H$321:$H$332,MATCH('Voting Table'!$E23,Game!$E$321:$E$332,0)))))</f>
        <v>Megan</v>
      </c>
      <c r="H23" s="48" t="str">
        <f ca="1">IF(E23="","",IF(G23="Day 1","",IF($E23=G$39,"Day 16",IF(COUNTIF(D$29:D$31,$E23)=1,"Nominated",IF(H$10=$E23,IF(D$28="T",H$39,"HOH"),INDEX(Game!$H$439:$H$449,MATCH('Voting Table'!$E23,Game!$E$439:$E$449,0)))))))</f>
        <v>Paul</v>
      </c>
      <c r="I23" s="48" t="str">
        <f ca="1">IF(E23="","",IF(COUNTIF(G23:H23,"Day*")=1,"",IF($E23=H$39,"Day 23",IF(COUNTIF(A$33:A$35,$E23)=1,"Nominated",IF(I$10=$E23,IF(A$32="T",I$39,"HOH"),IF(I$39="Eviction","No Voting",INDEX(Game!$H$565:$H$574,MATCH('Voting Table'!$E23,Game!$E$565:$E$574,0))))))))</f>
        <v>No Voting</v>
      </c>
      <c r="J23" s="52" t="str">
        <f ca="1">IF(COUNTIF(Game!E618:E621,$E23),IF($E23=I$39,"Day 30",""),IF(COUNTIF(B$33:B$35,$E23)=1,"Nominated",IF(J$10=$E23,IF(B$32="T",J$39,"HOH"),IF(J$39="Eviction","No Voting",INDEX(Game!$H$721:$H$731,MATCH('Voting Table'!$E23,Game!$E$721:$E$731,0))))))</f>
        <v>Ramses</v>
      </c>
      <c r="K23" s="48" t="str">
        <f ca="1">IF(COUNTIF(C$33:C$35,$E23)=1,"Nominated",IF($E23=K$10,IF(C$32="T",K$39,"HOH"),IF(K$39="Eviction","No Voting",INDEX(Game!$H$864:$H$873,MATCH($E23,Game!$E$864:$E$873,0)))))</f>
        <v>Mark</v>
      </c>
      <c r="L23" s="48" t="str">
        <f ca="1">IF(COUNTIF(A$40:A$42,$E23)=1,"Nominated",IF($E23=L$10,IF(A$39="T",L$39,"HOH"),IF(L$39="Eviction","No Voting",INDEX(Game!$H$1000:$H$1008,MATCH($E23,Game!$E$1003:$E$1011,0)))))</f>
        <v>Josh</v>
      </c>
      <c r="M23" s="48" t="str">
        <f ca="1">IF(COUNTIF(B$40:B$42,$E23)=1,"Nominated",IF($E23=M$10,IF(B$39="T",M$39,"HOH"),IF(M$39="Eviction","No Voting",INDEX(Game!$H$1134:$H$1141,MATCH($E23,Game!$E$1134:$E$1141,0)))))</f>
        <v>Jillian</v>
      </c>
      <c r="N23" s="48" t="str">
        <f ca="1">IF(COUNTIF(C$40:C$42,$E23)=1,"Nominated",IF($E23=N$10,IF(C$39="T",N$39,"HOH"),IF(N$39="Eviction","No Voting",INDEX(Game!$H$1227:$H$1233,MATCH($E23,Game!$F$1227:$F$1233,0)))))</f>
        <v>HOH</v>
      </c>
      <c r="O23" s="48" t="str">
        <f ca="1">IF(COUNTIF(D$40:D$42,$E23)=1,"Nominated",IF($E23=O$10,IF(D$39="T",O$39,"HOH"),IF(COUNTIF(Game!$F$1338:$F$1343,E23)=0,"Ineligible",INDEX(Game!$H$1338:$H$1343,MATCH($E23,Game!$F$1338:$F$1343,0)))))</f>
        <v>Christmas</v>
      </c>
      <c r="P23" s="48" t="str">
        <f ca="1">IF(COUNTIF(A$45:A$46,$E23)=1,"Nominated",IF($E23=P$10,IF(A$44="T",P$39,"HOH"),IF(COUNTIF(Game!$F$1450:$F$1454,E23)=0,"Ineligible",INDEX(Game!$H$1450:$H$1454,MATCH($E23,Game!$F$1450:$F$1454,0)))))</f>
        <v>Matt</v>
      </c>
      <c r="Q23" s="48" t="str">
        <f ca="1">IF(COUNTIF(B$45:B$46,$E23)=1,"Nominated",IF($E23=Q$10,IF(B$44="T",Q$39,"HOH"),IF(COUNTIF(Game!$F$1558:$F$1565,E23)=0,"Ineligible",INDEX(Game!$H$1558:$H$1565,MATCH($E23,Game!$F$1558:$F$1565,0)))))</f>
        <v>Nominated</v>
      </c>
      <c r="R23" s="48" t="str">
        <f ca="1">IF(COUNTIF(C$45:C$46,$E23)=1,"Nominated",IF($E23=R$10,IF(C$44="T",R$39,"HOH"),INDEX(Game!$H$1631:$H$1633,MATCH($E23,Game!$F$1631:$F$1633,0))))</f>
        <v>HOH</v>
      </c>
      <c r="S23" s="48" t="str">
        <f ca="1">IF(COUNTIF(D$45:D$46,$E23)=1,"Nominated",IF($E23=S$10,IF(D$44="T",S$39,"HOH"),INDEX(Game!$H$1690:$H$1695,MATCH($E23,Game!$F$1690:$F$1695,0))))</f>
        <v>Matt</v>
      </c>
      <c r="T23" s="48" t="str">
        <f ca="1">IF(COUNTIF(A$50:A$51,$E23)=1,"Nominated",IF($E23=T$10,"HOH",T$39))</f>
        <v>Nominated</v>
      </c>
      <c r="U23" s="70" t="s">
        <v>240</v>
      </c>
      <c r="V23" s="48" t="str">
        <f ca="1">INDEX(Game!$F$1815:$F$1823,MATCH('Voting Table'!E23,Game!$E$1815:$E$1823,0))</f>
        <v>Raven</v>
      </c>
    </row>
    <row r="24" spans="1:22" x14ac:dyDescent="0.25">
      <c r="A24" s="5" t="str">
        <f ca="1">Game!G73</f>
        <v>Ramses</v>
      </c>
      <c r="B24" s="5" t="str">
        <f ca="1">Game!F819</f>
        <v>Christmas</v>
      </c>
      <c r="C24" s="5" t="str">
        <f ca="1">Game!F959</f>
        <v>Jessica</v>
      </c>
      <c r="D24" s="5"/>
      <c r="E24" s="64" t="str">
        <f ca="1">Game!J1883</f>
        <v>Cody</v>
      </c>
      <c r="F24" s="48" t="str">
        <f ca="1">IF(COUNTIF($F$12:$F$14,$E24)=1,"Nominated",IF(Game!$F$139="Comp","No Voting",IF($E24=$A$21,IF(COUNTIF($F$40,"*14")=1,$F$39,"Not Elig."),INDEX(Game!$H$142:$H$154,MATCH('Voting Table'!$E24,Game!$E$142:$E$154,0)))))</f>
        <v>No Voting</v>
      </c>
      <c r="G24" s="48" t="str">
        <f ca="1">IF($E24=F$39,"Day 1",IF(COUNTIF(C$29:C$30,$E24)=1,"Nominated",IF(G$10=$E24,IF(COUNTIF(G$40,"*of 13")=1,G$39,"HOH"),INDEX(Game!$H$321:$H$332,MATCH('Voting Table'!$E24,Game!$E$321:$E$332,0)))))</f>
        <v>Megan</v>
      </c>
      <c r="H24" s="48" t="str">
        <f ca="1">IF(E24="","",IF(G24="Day 1","",IF($E24=G$39,"Day 16",IF(COUNTIF(D$29:D$31,$E24)=1,"Nominated",IF(H$10=$E24,IF(D$28="T",H$39,"HOH"),INDEX(Game!$H$439:$H$449,MATCH('Voting Table'!$E24,Game!$E$439:$E$449,0)))))))</f>
        <v>Paul</v>
      </c>
      <c r="I24" s="48" t="str">
        <f ca="1">IF(E24="","",IF(COUNTIF(G24:H24,"Day*")=1,"",IF($E24=H$39,"Day 23",IF(COUNTIF(A$33:A$35,$E24)=1,"Nominated",IF(I$10=$E24,IF(A$32="T",I$39,"HOH"),IF(I$39="Eviction","No Voting",INDEX(Game!$H$565:$H$574,MATCH('Voting Table'!$E24,Game!$E$565:$E$574,0))))))))</f>
        <v>No Voting</v>
      </c>
      <c r="J24" s="52" t="str">
        <f ca="1">IF(COUNTIF(Game!E619:E622,$E24),IF($E24=I$39,"Day 30",""),IF(COUNTIF(B$33:B$35,$E24)=1,"Nominated",IF(J$10=$E24,IF(B$32="T",J$39,"HOH"),IF(J$39="Eviction","No Voting",INDEX(Game!$H$721:$H$731,MATCH('Voting Table'!$E24,Game!$E$721:$E$731,0))))))</f>
        <v>HOH</v>
      </c>
      <c r="K24" s="48" t="str">
        <f ca="1">IF(COUNTIF(C$33:C$35,$E24)=1,"Nominated",IF($E24=K$10,IF(C$32="T",K$39,"HOH"),IF(K$39="Eviction","No Voting",INDEX(Game!$H$864:$H$873,MATCH($E24,Game!$E$864:$E$873,0)))))</f>
        <v>Mark</v>
      </c>
      <c r="L24" s="48" t="str">
        <f ca="1">IF(COUNTIF(A$40:A$42,$E24)=1,"Nominated",IF($E24=L$10,IF(A$39="T",L$39,"HOH"),IF(L$39="Eviction","No Voting",INDEX(Game!$H$1000:$H$1008,MATCH($E24,Game!$E$1003:$E$1011,0)))))</f>
        <v>Megan</v>
      </c>
      <c r="M24" s="48" t="str">
        <f ca="1">IF(COUNTIF(B$40:B$42,$E24)=1,"Nominated",IF($E24=M$10,IF(B$39="T",M$39,"HOH"),IF(M$39="Eviction","No Voting",INDEX(Game!$H$1134:$H$1141,MATCH($E24,Game!$E$1134:$E$1141,0)))))</f>
        <v>Mark</v>
      </c>
      <c r="N24" s="48" t="str">
        <f ca="1">IF(COUNTIF(C$40:C$42,$E24)=1,"Nominated",IF($E24=N$10,IF(C$39="T",N$39,"HOH"),IF(N$39="Eviction","No Voting",INDEX(Game!$H$1227:$H$1233,MATCH($E24,Game!$F$1227:$F$1233,0)))))</f>
        <v>Megan</v>
      </c>
      <c r="O24" s="48" t="str">
        <f ca="1">IF(COUNTIF(D$40:D$42,$E24)=1,"Nominated",IF($E24=O$10,IF(D$39="T",O$39,"HOH"),IF(COUNTIF(Game!$F$1338:$F$1343,E24)=0,"Ineligible",INDEX(Game!$H$1338:$H$1343,MATCH($E24,Game!$F$1338:$F$1343,0)))))</f>
        <v>Christmas</v>
      </c>
      <c r="P24" s="48" t="str">
        <f ca="1">IF(COUNTIF(A$45:A$46,$E24)=1,"Nominated",IF($E24=P$10,IF(A$44="T",P$39,"HOH"),IF(COUNTIF(Game!$F$1450:$F$1454,E24)=0,"Ineligible",INDEX(Game!$H$1450:$H$1454,MATCH($E24,Game!$F$1450:$F$1454,0)))))</f>
        <v>Mark</v>
      </c>
      <c r="Q24" s="48" t="str">
        <f ca="1">IF(COUNTIF(B$45:B$46,$E24)=1,"Nominated",IF($E24=Q$10,IF(B$44="T",Q$39,"HOH"),IF(COUNTIF(Game!$F$1558:$F$1565,E24)=0,"Ineligible",INDEX(Game!$H$1558:$H$1565,MATCH($E24,Game!$F$1558:$F$1565,0)))))</f>
        <v>HOH</v>
      </c>
      <c r="R24" s="48" t="str">
        <f ca="1">IF(COUNTIF(C$45:C$46,$E24)=1,"Nominated",IF($E24=R$10,IF(C$44="T",R$39,"HOH"),INDEX(Game!$H$1631:$H$1633,MATCH($E24,Game!$F$1631:$F$1633,0))))</f>
        <v>Alex</v>
      </c>
      <c r="S24" s="48" t="str">
        <f ca="1">IF(COUNTIF(D$45:D$46,$E24)=1,"Nominated",IF($E24=S$10,IF(D$44="T",S$39,"HOH"),INDEX(Game!$H$1690:$H$1695,MATCH($E24,Game!$F$1690:$F$1695,0))))</f>
        <v>Nominated</v>
      </c>
      <c r="T24" s="48" t="str">
        <f ca="1">IF(COUNTIF(A$50:A$51,$E24)=1,"Nominated",IF($E24=T$10,"HOH",T$39))</f>
        <v>Nominated</v>
      </c>
      <c r="U24" s="70" t="s">
        <v>239</v>
      </c>
      <c r="V24" s="48" t="str">
        <f ca="1">INDEX(Game!$F$1815:$F$1823,MATCH('Voting Table'!E24,Game!$E$1815:$E$1823,0))</f>
        <v>Raven</v>
      </c>
    </row>
    <row r="25" spans="1:22" x14ac:dyDescent="0.25">
      <c r="A25" s="5" t="str">
        <f ca="1">Game!G74</f>
        <v>Matt</v>
      </c>
      <c r="B25" s="5"/>
      <c r="C25" s="5"/>
      <c r="D25" s="5"/>
      <c r="E25" s="64" t="str">
        <f ca="1">Game!K1883</f>
        <v>Matt</v>
      </c>
      <c r="F25" s="48" t="str">
        <f ca="1">IF(COUNTIF($F$12:$F$14,$E25)=1,"Nominated",IF(Game!$F$139="Comp","No Voting",IF($E25=$A$21,IF(COUNTIF($F$40,"*14")=1,$F$39,"Not Elig."),INDEX(Game!$H$142:$H$154,MATCH('Voting Table'!$E25,Game!$E$142:$E$154,0)))))</f>
        <v>No Voting</v>
      </c>
      <c r="G25" s="48" t="str">
        <f ca="1">IF($E25=F$39,"Day 1",IF(COUNTIF(C$29:C$30,$E25)=1,"Nominated",IF(G$10=$E25,IF(COUNTIF(G$40,"*of 13")=1,G$39,"HOH"),INDEX(Game!$H$321:$H$332,MATCH('Voting Table'!$E25,Game!$E$321:$E$332,0)))))</f>
        <v>Paul</v>
      </c>
      <c r="H25" s="48" t="str">
        <f ca="1">IF(E25="","",IF(G25="Day 1","",IF($E25=G$39,"Day 16",IF(COUNTIF(D$29:D$31,$E25)=1,"Nominated",IF(H$10=$E25,IF(D$28="T",H$39,"HOH"),INDEX(Game!$H$439:$H$449,MATCH('Voting Table'!$E25,Game!$E$439:$E$449,0)))))))</f>
        <v>Elena</v>
      </c>
      <c r="I25" s="48" t="str">
        <f ca="1">IF(E25="","",IF(COUNTIF(G25:H25,"Day*")=1,"",IF($E25=H$39,"Day 23",IF(COUNTIF(A$33:A$35,$E25)=1,"Nominated",IF(I$10=$E25,IF(A$32="T",I$39,"HOH"),IF(I$39="Eviction","No Voting",INDEX(Game!$H$565:$H$574,MATCH('Voting Table'!$E25,Game!$E$565:$E$574,0))))))))</f>
        <v>No Voting</v>
      </c>
      <c r="J25" s="52" t="str">
        <f ca="1">IF(COUNTIF(Game!E620:E623,$E25),IF($E25=I$39,"Day 30",""),IF(COUNTIF(B$33:B$35,$E25)=1,"Nominated",IF(J$10=$E25,IF(B$32="T",J$39,"HOH"),IF(J$39="Eviction","No Voting",INDEX(Game!$H$721:$H$731,MATCH('Voting Table'!$E25,Game!$E$721:$E$731,0))))))</f>
        <v>Ramses</v>
      </c>
      <c r="K25" s="48" t="str">
        <f ca="1">IF(COUNTIF(C$33:C$35,$E25)=1,"Nominated",IF($E25=K$10,IF(C$32="T",K$39,"HOH"),IF(K$39="Eviction","No Voting",INDEX(Game!$H$864:$H$873,MATCH($E25,Game!$E$864:$E$873,0)))))</f>
        <v>Elena</v>
      </c>
      <c r="L25" s="48" t="str">
        <f ca="1">IF(COUNTIF(A$40:A$42,$E25)=1,"Nominated",IF($E25=L$10,IF(A$39="T",L$39,"HOH"),IF(L$39="Eviction","No Voting",INDEX(Game!$H$1000:$H$1008,MATCH($E25,Game!$E$1003:$E$1011,0)))))</f>
        <v>Alex</v>
      </c>
      <c r="M25" s="48" t="str">
        <f ca="1">IF(COUNTIF(B$40:B$42,$E25)=1,"Nominated",IF($E25=M$10,IF(B$39="T",M$39,"HOH"),IF(M$39="Eviction","No Voting",INDEX(Game!$H$1134:$H$1141,MATCH($E25,Game!$E$1134:$E$1141,0)))))</f>
        <v>Jillian</v>
      </c>
      <c r="N25" s="48" t="str">
        <f ca="1">IF(COUNTIF(C$40:C$42,$E25)=1,"Nominated",IF($E25=N$10,IF(C$39="T",N$39,"HOH"),IF(N$39="Eviction","No Voting",INDEX(Game!$H$1227:$H$1233,MATCH($E25,Game!$F$1227:$F$1233,0)))))</f>
        <v>Nominated</v>
      </c>
      <c r="O25" s="48" t="str">
        <f ca="1">IF(COUNTIF(D$40:D$42,$E25)=1,"Nominated",IF($E25=O$10,IF(D$39="T",O$39,"HOH"),IF(COUNTIF(Game!$F$1338:$F$1343,E25)=0,"Ineligible",INDEX(Game!$H$1338:$H$1343,MATCH($E25,Game!$F$1338:$F$1343,0)))))</f>
        <v>Raven</v>
      </c>
      <c r="P25" s="48" t="str">
        <f ca="1">IF(COUNTIF(A$45:A$46,$E25)=1,"Nominated",IF($E25=P$10,IF(A$44="T",P$39,"HOH"),IF(COUNTIF(Game!$F$1450:$F$1454,E25)=0,"Ineligible",INDEX(Game!$H$1450:$H$1454,MATCH($E25,Game!$F$1450:$F$1454,0)))))</f>
        <v>Nominated</v>
      </c>
      <c r="Q25" s="48" t="str">
        <f ca="1">IF(COUNTIF(B$45:B$46,$E25)=1,"Nominated",IF($E25=Q$10,IF(B$44="T",Q$39,"HOH"),IF(COUNTIF(Game!$F$1558:$F$1565,E25)=0,"Ineligible",INDEX(Game!$H$1558:$H$1565,MATCH($E25,Game!$F$1558:$F$1565,0)))))</f>
        <v>Ineligible</v>
      </c>
      <c r="R25" s="48" t="str">
        <f ca="1">IF(COUNTIF(C$45:C$46,$E25)=1,"Nominated",IF($E25=R$10,IF(C$44="T",R$39,"HOH"),INDEX(Game!$H$1631:$H$1633,MATCH($E25,Game!$F$1631:$F$1633,0))))</f>
        <v>Alex</v>
      </c>
      <c r="S25" s="48" t="str">
        <f ca="1">IF(COUNTIF(D$45:D$46,$E25)=1,"Nominated",IF($E25=S$10,IF(D$44="T",S$39,"HOH"),INDEX(Game!$H$1690:$H$1695,MATCH($E25,Game!$F$1690:$F$1695,0))))</f>
        <v>Nominated</v>
      </c>
      <c r="T25" s="70" t="s">
        <v>238</v>
      </c>
      <c r="U25" s="65"/>
      <c r="V25" s="48" t="str">
        <f ca="1">INDEX(Game!$F$1815:$F$1823,MATCH('Voting Table'!E25,Game!$E$1815:$E$1823,0))</f>
        <v>Cameron</v>
      </c>
    </row>
    <row r="26" spans="1:22" x14ac:dyDescent="0.25">
      <c r="A26" s="5" t="str">
        <f ca="1">Game!G75</f>
        <v>Christmas</v>
      </c>
      <c r="B26" s="5"/>
      <c r="C26" s="5"/>
      <c r="D26" s="5"/>
      <c r="E26" s="64" t="str">
        <f ca="1">Game!G1886</f>
        <v>Alex</v>
      </c>
      <c r="F26" s="48" t="str">
        <f ca="1">IF(COUNTIF($F$12:$F$14,$E26)=1,"Nominated",IF(Game!$F$139="Comp","No Voting",IF($E26=$A$21,IF(COUNTIF($F$40,"*14")=1,$F$39,"Not Elig."),INDEX(Game!$H$142:$H$154,MATCH('Voting Table'!$E26,Game!$E$142:$E$154,0)))))</f>
        <v>No Voting</v>
      </c>
      <c r="G26" s="48" t="str">
        <f ca="1">IF($E26=F$39,"Day 1",IF(COUNTIF(C$29:C$30,$E26)=1,"Nominated",IF(G$10=$E26,IF(COUNTIF(G$40,"*of 13")=1,G$39,"HOH"),INDEX(Game!$H$321:$H$332,MATCH('Voting Table'!$E26,Game!$E$321:$E$332,0)))))</f>
        <v>Paul</v>
      </c>
      <c r="H26" s="48" t="str">
        <f ca="1">IF(E26="","",IF(G26="Day 1","",IF($E26=G$39,"Day 16",IF(COUNTIF(D$29:D$31,$E26)=1,"Nominated",IF(H$10=$E26,IF(D$28="T",H$39,"HOH"),INDEX(Game!$H$439:$H$449,MATCH('Voting Table'!$E26,Game!$E$439:$E$449,0)))))))</f>
        <v>Paul</v>
      </c>
      <c r="I26" s="48" t="str">
        <f ca="1">IF(E26="","",IF(COUNTIF(G26:H26,"Day*")=1,"",IF($E26=H$39,"Day 23",IF(COUNTIF(A$33:A$35,$E26)=1,"Nominated",IF(I$10=$E26,IF(A$32="T",I$39,"HOH"),IF(I$39="Eviction","No Voting",INDEX(Game!$H$565:$H$574,MATCH('Voting Table'!$E26,Game!$E$565:$E$574,0))))))))</f>
        <v>No Voting</v>
      </c>
      <c r="J26" s="52" t="str">
        <f ca="1">IF(COUNTIF(Game!E621:E624,$E26),IF($E26=I$39,"Day 30",""),IF(COUNTIF(B$33:B$35,$E26)=1,"Nominated",IF(J$10=$E26,IF(B$32="T",J$39,"HOH"),IF(J$39="Eviction","No Voting",INDEX(Game!$H$721:$H$731,MATCH('Voting Table'!$E26,Game!$E$721:$E$731,0))))))</f>
        <v>Christmas</v>
      </c>
      <c r="K26" s="48" t="str">
        <f ca="1">IF(COUNTIF(C$33:C$35,$E26)=1,"Nominated",IF($E26=K$10,IF(C$32="T",K$39,"HOH"),IF(K$39="Eviction","No Voting",INDEX(Game!$H$864:$H$873,MATCH($E26,Game!$E$864:$E$873,0)))))</f>
        <v>Elena</v>
      </c>
      <c r="L26" s="48" t="str">
        <f ca="1">IF(COUNTIF(A$40:A$42,$E26)=1,"Nominated",IF($E26=L$10,IF(A$39="T",L$39,"HOH"),IF(L$39="Eviction","No Voting",INDEX(Game!$H$1000:$H$1008,MATCH($E26,Game!$E$1003:$E$1011,0)))))</f>
        <v>Nominated</v>
      </c>
      <c r="M26" s="48" t="str">
        <f ca="1">IF(COUNTIF(B$40:B$42,$E26)=1,"Nominated",IF($E26=M$10,IF(B$39="T",M$39,"HOH"),IF(M$39="Eviction","No Voting",INDEX(Game!$H$1134:$H$1141,MATCH($E26,Game!$E$1134:$E$1141,0)))))</f>
        <v>Jillian</v>
      </c>
      <c r="N26" s="48" t="str">
        <f ca="1">IF(COUNTIF(C$40:C$42,$E26)=1,"Nominated",IF($E26=N$10,IF(C$39="T",N$39,"HOH"),IF(N$39="Eviction","No Voting",INDEX(Game!$H$1227:$H$1233,MATCH($E26,Game!$F$1227:$F$1233,0)))))</f>
        <v>Matt</v>
      </c>
      <c r="O26" s="48" t="str">
        <f ca="1">IF(COUNTIF(D$40:D$42,$E26)=1,"Nominated",IF($E26=O$10,IF(D$39="T",O$39,"HOH"),IF(COUNTIF(Game!$F$1338:$F$1343,E26)=0,"Ineligible",INDEX(Game!$H$1338:$H$1343,MATCH($E26,Game!$F$1338:$F$1343,0)))))</f>
        <v>Raven</v>
      </c>
      <c r="P26" s="48" t="str">
        <f ca="1">IF(COUNTIF(A$45:A$46,$E26)=1,"Nominated",IF($E26=P$10,IF(A$44="T",P$39,"HOH"),IF(COUNTIF(Game!$F$1450:$F$1454,E26)=0,"Ineligible",INDEX(Game!$H$1450:$H$1454,MATCH($E26,Game!$F$1450:$F$1454,0)))))</f>
        <v>Matt</v>
      </c>
      <c r="Q26" s="48" t="str">
        <f ca="1">IF(COUNTIF(B$45:B$46,$E26)=1,"Nominated",IF($E26=Q$10,IF(B$44="T",Q$39,"HOH"),IF(COUNTIF(Game!$F$1558:$F$1565,E26)=0,"Ineligible",INDEX(Game!$H$1558:$H$1565,MATCH($E26,Game!$F$1558:$F$1565,0)))))</f>
        <v>Ineligible</v>
      </c>
      <c r="R26" s="48" t="str">
        <f ca="1">IF(COUNTIF(C$45:C$46,$E26)=1,"Nominated",IF($E26=R$10,IF(C$44="T",R$39,"HOH"),INDEX(Game!$H$1631:$H$1633,MATCH($E26,Game!$F$1631:$F$1633,0))))</f>
        <v>Nominated</v>
      </c>
      <c r="S26" s="70" t="s">
        <v>222</v>
      </c>
      <c r="T26" s="65"/>
      <c r="U26" s="65"/>
      <c r="V26" s="48" t="str">
        <f ca="1">INDEX(Game!$F$1815:$F$1823,MATCH('Voting Table'!E26,Game!$E$1815:$E$1823,0))</f>
        <v>Cameron</v>
      </c>
    </row>
    <row r="27" spans="1:22" x14ac:dyDescent="0.25">
      <c r="A27" s="5" t="str">
        <f ca="1">Game!G76</f>
        <v>Kevin</v>
      </c>
      <c r="B27" s="5"/>
      <c r="C27" s="5"/>
      <c r="D27" s="5"/>
      <c r="E27" s="64" t="str">
        <f ca="1">Game!H1580</f>
        <v>Jason</v>
      </c>
      <c r="F27" s="48" t="str">
        <f ca="1">IF(COUNTIF($F$12:$F$14,$E27)=1,"Nominated",IF(Game!$F$139="Comp","No Voting",IF($E27=$A$21,IF(COUNTIF($F$40,"*14")=1,$F$39,"Not Elig."),INDEX(Game!$H$142:$H$154,MATCH('Voting Table'!$E27,Game!$E$142:$E$154,0)))))</f>
        <v>No Voting</v>
      </c>
      <c r="G27" s="48" t="str">
        <f ca="1">IF($E27=F$39,"Day 1",IF(COUNTIF(C$29:C$30,$E27)=1,"Nominated",IF(G$10=$E27,IF(COUNTIF(G$40,"*of 13")=1,G$39,"HOH"),INDEX(Game!$H$321:$H$332,MATCH('Voting Table'!$E27,Game!$E$321:$E$332,0)))))</f>
        <v>Paul</v>
      </c>
      <c r="H27" s="48" t="str">
        <f ca="1">IF(E27="","",IF(G27="Day 1","",IF($E27=G$39,"Day 16",IF(COUNTIF(D$29:D$31,$E27)=1,"Nominated",IF(H$10=$E27,IF(D$28="T",H$39,"HOH"),INDEX(Game!$H$439:$H$449,MATCH('Voting Table'!$E27,Game!$E$439:$E$449,0)))))))</f>
        <v>Elena</v>
      </c>
      <c r="I27" s="48" t="str">
        <f ca="1">IF(E27="","",IF(COUNTIF(G27:H27,"Day*")=1,"",IF($E27=H$39,"Day 23",IF(COUNTIF(A$33:A$35,$E27)=1,"Nominated",IF(I$10=$E27,IF(A$32="T",I$39,"HOH"),IF(I$39="Eviction","No Voting",INDEX(Game!$H$565:$H$574,MATCH('Voting Table'!$E27,Game!$E$565:$E$574,0))))))))</f>
        <v>No Voting</v>
      </c>
      <c r="J27" s="52" t="str">
        <f ca="1">IF(COUNTIF(Game!E622:E625,$E27),IF($E27=I$39,"Day 30",""),IF(COUNTIF(B$33:B$35,$E27)=1,"Nominated",IF(J$10=$E27,IF(B$32="T",J$39,"HOH"),IF(J$39="Eviction","No Voting",INDEX(Game!$H$721:$H$731,MATCH('Voting Table'!$E27,Game!$E$721:$E$731,0))))))</f>
        <v>Ramses</v>
      </c>
      <c r="K27" s="48" t="str">
        <f ca="1">IF(COUNTIF(C$33:C$35,$E27)=1,"Nominated",IF($E27=K$10,IF(C$32="T",K$39,"HOH"),IF(K$39="Eviction","No Voting",INDEX(Game!$H$864:$H$873,MATCH($E27,Game!$E$864:$E$873,0)))))</f>
        <v>Elena</v>
      </c>
      <c r="L27" s="48" t="str">
        <f ca="1">IF(COUNTIF(A$40:A$42,$E27)=1,"Nominated",IF($E27=L$10,IF(A$39="T",L$39,"HOH"),IF(L$39="Eviction","No Voting",INDEX(Game!$H$1000:$H$1008,MATCH($E27,Game!$E$1003:$E$1011,0)))))</f>
        <v>Josh</v>
      </c>
      <c r="M27" s="48" t="str">
        <f ca="1">IF(COUNTIF(B$40:B$42,$E27)=1,"Nominated",IF($E27=M$10,IF(B$39="T",M$39,"HOH"),IF(M$39="Eviction","No Voting",INDEX(Game!$H$1134:$H$1141,MATCH($E27,Game!$E$1134:$E$1141,0)))))</f>
        <v>Nominated</v>
      </c>
      <c r="N27" s="48" t="str">
        <f ca="1">IF(COUNTIF(C$40:C$42,$E27)=1,"Nominated",IF($E27=N$10,IF(C$39="T",N$39,"HOH"),IF(N$39="Eviction","No Voting",INDEX(Game!$H$1227:$H$1233,MATCH($E27,Game!$F$1227:$F$1233,0)))))</f>
        <v>Megan</v>
      </c>
      <c r="O27" s="48" t="str">
        <f ca="1">IF(COUNTIF(D$40:D$42,$E27)=1,"Nominated",IF($E27=O$10,IF(D$39="T",O$39,"HOH"),IF(COUNTIF(Game!$F$1338:$F$1343,E27)=0,"Ineligible",INDEX(Game!$H$1338:$H$1343,MATCH($E27,Game!$F$1338:$F$1343,0)))))</f>
        <v>Christmas</v>
      </c>
      <c r="P27" s="48" t="str">
        <f ca="1">IF(COUNTIF(A$45:A$46,$E27)=1,"Nominated",IF($E27=P$10,IF(A$44="T",P$39,"HOH"),IF(COUNTIF(Game!$F$1450:$F$1454,E27)=0,"Ineligible",INDEX(Game!$H$1450:$H$1454,MATCH($E27,Game!$F$1450:$F$1454,0)))))</f>
        <v>Mark</v>
      </c>
      <c r="Q27" s="48" t="str">
        <f ca="1">IF(COUNTIF(B$45:B$46,$E27)=1,"Nominated",IF($E27=Q$10,IF(B$44="T",Q$39,"HOH"),IF(COUNTIF(Game!$F$1558:$F$1565,E27)=0,"Ineligible",INDEX(Game!$H$1558:$H$1565,MATCH($E27,Game!$F$1558:$F$1565,0)))))</f>
        <v>Nominated</v>
      </c>
      <c r="R27" s="70" t="s">
        <v>222</v>
      </c>
      <c r="S27" s="65"/>
      <c r="T27" s="65"/>
      <c r="U27" s="65"/>
      <c r="V27" s="48" t="str">
        <f ca="1">INDEX(Game!$F$1815:$F$1823,MATCH('Voting Table'!E27,Game!$E$1815:$E$1823,0))</f>
        <v>Raven</v>
      </c>
    </row>
    <row r="28" spans="1:22" x14ac:dyDescent="0.25">
      <c r="A28" s="5" t="str">
        <f ca="1">Game!G77</f>
        <v>Jessica</v>
      </c>
      <c r="B28" s="5"/>
      <c r="C28" s="5"/>
      <c r="D28" s="5" t="str">
        <f ca="1">IF(Game!G451&lt;&gt;"","T","")</f>
        <v/>
      </c>
      <c r="E28" s="64" t="str">
        <f ca="1">Game!I1471</f>
        <v>Mark</v>
      </c>
      <c r="F28" s="48" t="str">
        <f ca="1">IF(COUNTIF($F$12:$F$14,$E28)=1,"Nominated",IF(Game!$F$139="Comp","No Voting",IF($E28=$A$21,IF(COUNTIF($F$40,"*14")=1,$F$39,"Not Elig."),INDEX(Game!$H$142:$H$154,MATCH('Voting Table'!$E28,Game!$E$142:$E$154,0)))))</f>
        <v>No Voting</v>
      </c>
      <c r="G28" s="48" t="str">
        <f ca="1">IF($E28=F$39,"Day 1",IF(COUNTIF(C$29:C$30,$E28)=1,"Nominated",IF(G$10=$E28,IF(COUNTIF(G$40,"*of 13")=1,G$39,"HOH"),INDEX(Game!$H$321:$H$332,MATCH('Voting Table'!$E28,Game!$E$321:$E$332,0)))))</f>
        <v>Megan</v>
      </c>
      <c r="H28" s="48" t="str">
        <f ca="1">IF(E28="","",IF(G28="Day 1","",IF($E28=G$39,"Day 16",IF(COUNTIF(D$29:D$31,$E28)=1,"Nominated",IF(H$10=$E28,IF(D$28="T",H$39,"HOH"),INDEX(Game!$H$439:$H$449,MATCH('Voting Table'!$E28,Game!$E$439:$E$449,0)))))))</f>
        <v>Paul</v>
      </c>
      <c r="I28" s="48" t="str">
        <f ca="1">IF(E28="","",IF(COUNTIF(G28:H28,"Day*")=1,"",IF($E28=H$39,"Day 23",IF(COUNTIF(A$33:A$35,$E28)=1,"Nominated",IF(I$10=$E28,IF(A$32="T",I$39,"HOH"),IF(I$39="Eviction","No Voting",INDEX(Game!$H$565:$H$574,MATCH('Voting Table'!$E28,Game!$E$565:$E$574,0))))))))</f>
        <v>Nominated</v>
      </c>
      <c r="J28" s="52" t="str">
        <f ca="1">IF(COUNTIF(Game!E623:E626,$E28),IF($E28=I$39,"Day 30",""),IF(COUNTIF(B$33:B$35,$E28)=1,"Nominated",IF(J$10=$E28,IF(B$32="T",J$39,"HOH"),IF(J$39="Eviction","No Voting",INDEX(Game!$H$721:$H$731,MATCH('Voting Table'!$E28,Game!$E$721:$E$731,0))))))</f>
        <v>Ramses</v>
      </c>
      <c r="K28" s="48" t="str">
        <f ca="1">IF(COUNTIF(C$33:C$35,$E28)=1,"Nominated",IF($E28=K$10,IF(C$32="T",K$39,"HOH"),IF(K$39="Eviction","No Voting",INDEX(Game!$H$864:$H$873,MATCH($E28,Game!$E$864:$E$873,0)))))</f>
        <v>Nominated</v>
      </c>
      <c r="L28" s="48" t="str">
        <f ca="1">IF(COUNTIF(A$40:A$42,$E28)=1,"Nominated",IF($E28=L$10,IF(A$39="T",L$39,"HOH"),IF(L$39="Eviction","No Voting",INDEX(Game!$H$1000:$H$1008,MATCH($E28,Game!$E$1003:$E$1011,0)))))</f>
        <v>Megan</v>
      </c>
      <c r="M28" s="48" t="str">
        <f ca="1">IF(COUNTIF(B$40:B$42,$E28)=1,"Nominated",IF($E28=M$10,IF(B$39="T",M$39,"HOH"),IF(M$39="Eviction","No Voting",INDEX(Game!$H$1134:$H$1141,MATCH($E28,Game!$E$1134:$E$1141,0)))))</f>
        <v>Nominated</v>
      </c>
      <c r="N28" s="48" t="str">
        <f ca="1">IF(COUNTIF(C$40:C$42,$E28)=1,"Nominated",IF($E28=N$10,IF(C$39="T",N$39,"HOH"),IF(N$39="Eviction","No Voting",INDEX(Game!$H$1227:$H$1233,MATCH($E28,Game!$F$1227:$F$1233,0)))))</f>
        <v>Megan</v>
      </c>
      <c r="O28" s="48" t="str">
        <f ca="1">IF(COUNTIF(D$40:D$42,$E28)=1,"Nominated",IF($E28=O$10,IF(D$39="T",O$39,"HOH"),IF(COUNTIF(Game!$F$1338:$F$1343,E28)=0,"Ineligible",INDEX(Game!$H$1338:$H$1343,MATCH($E28,Game!$F$1338:$F$1343,0)))))</f>
        <v>Raven</v>
      </c>
      <c r="P28" s="48" t="str">
        <f ca="1">IF(COUNTIF(A$45:A$46,$E28)=1,"Nominated",IF($E28=P$10,IF(A$44="T",P$39,"HOH"),IF(COUNTIF(Game!$F$1450:$F$1454,E28)=0,"Ineligible",INDEX(Game!$H$1450:$H$1454,MATCH($E28,Game!$F$1450:$F$1454,0)))))</f>
        <v>Nominated</v>
      </c>
      <c r="Q28" s="70" t="s">
        <v>217</v>
      </c>
      <c r="R28" s="65"/>
      <c r="S28" s="65"/>
      <c r="T28" s="65"/>
      <c r="U28" s="65"/>
      <c r="V28" s="48" t="str">
        <f ca="1">INDEX(Game!$F$1815:$F$1823,MATCH('Voting Table'!E28,Game!$E$1815:$E$1823,0))</f>
        <v>Cameron</v>
      </c>
    </row>
    <row r="29" spans="1:22" x14ac:dyDescent="0.25">
      <c r="A29" s="5" t="str">
        <f ca="1">IF(Game!$I$26="On",INDEX(Sheet4!B32:R32,MATCH(Game!$G$20,Sheet4!$B$24:$R$24,0)),INDEX(Game!$F$71:$F$86,MATCH(SMALL(Game!$E$71:$E$86,8),Game!$E$71:$E$86,0)))</f>
        <v>Jason</v>
      </c>
      <c r="B29" s="5"/>
      <c r="C29" s="5" t="str">
        <f ca="1">Game!G315</f>
        <v>Paul</v>
      </c>
      <c r="D29" s="5" t="str">
        <f ca="1">Game!G432</f>
        <v>Elena</v>
      </c>
      <c r="E29" s="63" t="str">
        <f ca="1">Game!J1359</f>
        <v>Christmas</v>
      </c>
      <c r="F29" s="48" t="str">
        <f ca="1">IF(COUNTIF($F$12:$F$14,$E29)=1,"Nominated",IF(Game!$F$139="Comp","No Voting",IF($E29=$A$21,IF(COUNTIF($F$40,"*14")=1,$F$39,"Not Elig."),INDEX(Game!$H$142:$H$154,MATCH('Voting Table'!$E29,Game!$E$142:$E$154,0)))))</f>
        <v>No Voting</v>
      </c>
      <c r="G29" s="48" t="str">
        <f ca="1">IF($E29=F$39,"Day 1",IF(COUNTIF(C$29:C$30,$E29)=1,"Nominated",IF(G$10=$E29,IF(COUNTIF(G$40,"*of 13")=1,G$39,"HOH"),INDEX(Game!$H$321:$H$332,MATCH('Voting Table'!$E29,Game!$E$321:$E$332,0)))))</f>
        <v>Megan</v>
      </c>
      <c r="H29" s="48" t="str">
        <f ca="1">IF(E29="","",IF(G29="Day 1","",IF($E29=G$39,"Day 16",IF(COUNTIF(D$29:D$31,$E29)=1,"Nominated",IF(H$10=$E29,IF(D$28="T",H$39,"HOH"),INDEX(Game!$H$439:$H$449,MATCH('Voting Table'!$E29,Game!$E$439:$E$449,0)))))))</f>
        <v>Paul</v>
      </c>
      <c r="I29" s="48" t="str">
        <f ca="1">IF(E29="","",IF(COUNTIF(G29:H29,"Day*")=1,"",IF($E29=H$39,"Day 23",IF(COUNTIF(A$33:A$35,$E29)=1,"Nominated",IF(I$10=$E29,IF(A$32="T",I$39,"HOH"),IF(I$39="Eviction","No Voting",INDEX(Game!$H$565:$H$574,MATCH('Voting Table'!$E29,Game!$E$565:$E$574,0))))))))</f>
        <v>No Voting</v>
      </c>
      <c r="J29" s="52" t="str">
        <f ca="1">IF(COUNTIF(Game!E624:E627,$E29),IF($E29=I$39,"Day 30",""),IF(COUNTIF(B$33:B$35,$E29)=1,"Nominated",IF(J$10=$E29,IF(B$32="T",J$39,"HOH"),IF(J$39="Eviction","No Voting",INDEX(Game!$H$721:$H$731,MATCH('Voting Table'!$E29,Game!$E$721:$E$731,0))))))</f>
        <v>Nominated</v>
      </c>
      <c r="K29" s="48" t="str">
        <f ca="1">IF(COUNTIF(C$33:C$35,$E29)=1,"Nominated",IF($E29=K$10,IF(C$32="T",K$39,"HOH"),IF(K$39="Eviction","No Voting",INDEX(Game!$H$864:$H$873,MATCH($E29,Game!$E$864:$E$873,0)))))</f>
        <v>Elena</v>
      </c>
      <c r="L29" s="48" t="str">
        <f ca="1">IF(COUNTIF(A$40:A$42,$E29)=1,"Nominated",IF($E29=L$10,IF(A$39="T",L$39,"HOH"),IF(L$39="Eviction","No Voting",INDEX(Game!$H$1000:$H$1008,MATCH($E29,Game!$E$1003:$E$1011,0)))))</f>
        <v>HOH</v>
      </c>
      <c r="M29" s="48" t="str">
        <f ca="1">IF(COUNTIF(B$40:B$42,$E29)=1,"Nominated",IF($E29=M$10,IF(B$39="T",M$39,"HOH"),IF(M$39="Eviction","No Voting",INDEX(Game!$H$1134:$H$1141,MATCH($E29,Game!$E$1134:$E$1141,0)))))</f>
        <v>Jason</v>
      </c>
      <c r="N29" s="48" t="str">
        <f ca="1">IF(COUNTIF(C$40:C$42,$E29)=1,"Nominated",IF($E29=N$10,IF(C$39="T",N$39,"HOH"),IF(N$39="Eviction","No Voting",INDEX(Game!$H$1227:$H$1233,MATCH($E29,Game!$F$1227:$F$1233,0)))))</f>
        <v>Megan</v>
      </c>
      <c r="O29" s="48" t="str">
        <f ca="1">IF(COUNTIF(D$40:D$42,$E29)=1,"Nominated",IF($E29=O$10,IF(D$39="T",O$39,"HOH"),IF(COUNTIF(Game!$F$1338:$F$1343,E29)=0,"Ineligible",INDEX(Game!$H$1338:$H$1343,MATCH($E29,Game!$F$1338:$F$1343,0)))))</f>
        <v>Nominated</v>
      </c>
      <c r="P29" s="70" t="s">
        <v>184</v>
      </c>
      <c r="Q29" s="65"/>
      <c r="R29" s="65"/>
      <c r="S29" s="65"/>
      <c r="T29" s="65"/>
      <c r="U29" s="65"/>
      <c r="V29" s="48" t="str">
        <f ca="1">INDEX(Game!$F$1815:$F$1823,MATCH('Voting Table'!E29,Game!$E$1815:$E$1823,0))</f>
        <v>Raven</v>
      </c>
    </row>
    <row r="30" spans="1:22" x14ac:dyDescent="0.25">
      <c r="A30" s="5"/>
      <c r="B30" s="5"/>
      <c r="C30" s="5" t="str">
        <f ca="1">Game!G316</f>
        <v>Megan</v>
      </c>
      <c r="D30" s="5" t="str">
        <f ca="1">Game!G433</f>
        <v>Paul</v>
      </c>
      <c r="E30" s="63" t="str">
        <f ca="1">Game!K1243</f>
        <v>Megan</v>
      </c>
      <c r="F30" s="48" t="str">
        <f ca="1">IF(COUNTIF($F$12:$F$14,$E30)=1,"Nominated",IF(Game!$F$139="Comp","No Voting",IF($E30=$A$21,IF(COUNTIF($F$40,"*14")=1,$F$39,"Not Elig."),INDEX(Game!$H$142:$H$154,MATCH('Voting Table'!$E30,Game!$E$142:$E$154,0)))))</f>
        <v>No Voting</v>
      </c>
      <c r="G30" s="48" t="str">
        <f ca="1">IF($E30=F$39,"Day 1",IF(COUNTIF(C$29:C$30,$E30)=1,"Nominated",IF(G$10=$E30,IF(COUNTIF(G$40,"*of 13")=1,G$39,"HOH"),INDEX(Game!$H$321:$H$332,MATCH('Voting Table'!$E30,Game!$E$321:$E$332,0)))))</f>
        <v>Nominated</v>
      </c>
      <c r="H30" s="48" t="str">
        <f ca="1">IF(E30="","",IF(G30="Day 1","",IF($E30=G$39,"Day 16",IF(COUNTIF(D$29:D$31,$E30)=1,"Nominated",IF(H$10=$E30,IF(D$28="T",H$39,"HOH"),INDEX(Game!$H$439:$H$449,MATCH('Voting Table'!$E30,Game!$E$439:$E$449,0)))))))</f>
        <v>Day 16</v>
      </c>
      <c r="I30" s="48" t="str">
        <f ca="1">IF(E30="","",IF(COUNTIF(G30:H30,"Day*")=1,"",IF($E30=H$39,"Day 23",IF(COUNTIF(A$33:A$35,$E30)=1,"Nominated",IF(I$10=$E30,IF(A$32="T",I$39,"HOH"),IF(I$39="Eviction","No Voting",INDEX(Game!$H$565:$H$574,MATCH('Voting Table'!$E30,Game!$E$565:$E$574,0))))))))</f>
        <v/>
      </c>
      <c r="J30" s="52" t="str">
        <f ca="1">IF(COUNTIF(Game!E625:E628,$E30),IF($E30=I$39,"Day 30",""),IF(COUNTIF(B$33:B$35,$E30)=1,"Nominated",IF(J$10=$E30,IF(B$32="T",J$39,"HOH"),IF(J$39="Eviction","No Voting",INDEX(Game!$H$721:$H$731,MATCH('Voting Table'!$E30,Game!$E$721:$E$731,0))))))</f>
        <v>Christmas</v>
      </c>
      <c r="K30" s="48" t="str">
        <f ca="1">IF(COUNTIF(C$33:C$35,$E30)=1,"Nominated",IF($E30=K$10,IF(C$32="T",K$39,"HOH"),IF(K$39="Eviction","No Voting",INDEX(Game!$H$864:$H$873,MATCH($E30,Game!$E$864:$E$873,0)))))</f>
        <v>Mark</v>
      </c>
      <c r="L30" s="48" t="str">
        <f ca="1">IF(COUNTIF(A$40:A$42,$E30)=1,"Nominated",IF($E30=L$10,IF(A$39="T",L$39,"HOH"),IF(L$39="Eviction","No Voting",INDEX(Game!$H$1000:$H$1008,MATCH($E30,Game!$E$1003:$E$1011,0)))))</f>
        <v>Nominated</v>
      </c>
      <c r="M30" s="48" t="str">
        <f ca="1">IF(COUNTIF(B$40:B$42,$E30)=1,"Nominated",IF($E30=M$10,IF(B$39="T",M$39,"HOH"),IF(M$39="Eviction","No Voting",INDEX(Game!$H$1134:$H$1141,MATCH($E30,Game!$E$1134:$E$1141,0)))))</f>
        <v>Mark</v>
      </c>
      <c r="N30" s="48" t="str">
        <f ca="1">IF(E30=M39,"Day 58",IF(COUNTIF(C$40:C$42,$E30)=1,"Nominated",IF($E30=N$10,IF(C$39="T",N$39,"HOH"),IF(N$39="Eviction","No Voting",INDEX(Game!$H$1227:$H$1233,MATCH($E30,Game!$F$1227:$F$1233,0))))))</f>
        <v>Nominated</v>
      </c>
      <c r="O30" s="68" t="str">
        <f ca="1">IF(N30="Day 58","","Day 58")</f>
        <v>Day 58</v>
      </c>
      <c r="P30" s="65"/>
      <c r="Q30" s="65"/>
      <c r="R30" s="65"/>
      <c r="S30" s="65"/>
      <c r="T30" s="65"/>
      <c r="U30" s="65"/>
      <c r="V30" s="48" t="str">
        <f ca="1">INDEX(Game!$F$1815:$F$1823,MATCH('Voting Table'!E30,Game!$E$1815:$E$1823,0))</f>
        <v>Cameron</v>
      </c>
    </row>
    <row r="31" spans="1:22" x14ac:dyDescent="0.25">
      <c r="A31" s="5"/>
      <c r="B31" s="5"/>
      <c r="C31" s="5"/>
      <c r="D31" s="5" t="str">
        <f ca="1">Game!G434</f>
        <v/>
      </c>
      <c r="E31" s="60" t="str">
        <f ca="1">Game!L1164</f>
        <v>Jillian</v>
      </c>
      <c r="F31" s="48" t="str">
        <f ca="1">IF(COUNTIF($F$12:$F$14,$E31)=1,"Nominated",IF(Game!$F$139="Comp","No Voting",IF($E31=$A$21,IF(COUNTIF($F$40,"*14")=1,$F$39,"Not Elig."),INDEX(Game!$H$142:$H$154,MATCH('Voting Table'!$E31,Game!$E$142:$E$154,0)))))</f>
        <v>No Voting</v>
      </c>
      <c r="G31" s="48" t="str">
        <f ca="1">IF($E31=F$39,"Day 1",IF(COUNTIF(C$29:C$30,$E31)=1,"Nominated",IF(G$10=$E31,IF(COUNTIF(G$40,"*of 13")=1,G$39,"HOH"),INDEX(Game!$H$321:$H$332,MATCH('Voting Table'!$E31,Game!$E$321:$E$332,0)))))</f>
        <v>Megan</v>
      </c>
      <c r="H31" s="48" t="str">
        <f ca="1">IF(E31="","",IF(G31="Day 1","",IF($E31=G$39,"Day 16",IF(COUNTIF(D$29:D$31,$E31)=1,"Nominated",IF(H$10=$E31,IF(D$28="T",H$39,"HOH"),INDEX(Game!$H$439:$H$449,MATCH('Voting Table'!$E31,Game!$E$439:$E$449,0)))))))</f>
        <v>Elena</v>
      </c>
      <c r="I31" s="48" t="str">
        <f ca="1">IF(E31="","",IF(COUNTIF(G31:H31,"Day*")=1,"",IF($E31=H$39,"Day 23",IF(COUNTIF(A$33:A$35,$E31)=1,"Nominated",IF(I$10=$E31,IF(A$32="T",I$39,"HOH"),IF(I$39="Eviction","No Voting",INDEX(Game!$H$565:$H$574,MATCH('Voting Table'!$E31,Game!$E$565:$E$574,0))))))))</f>
        <v>No Voting</v>
      </c>
      <c r="J31" s="52" t="str">
        <f ca="1">IF(COUNTIF(Game!E626:E629,$E31),IF($E31=I$39,"Day 30",""),IF(COUNTIF(B$33:B$35,$E31)=1,"Nominated",IF(J$10=$E31,IF(B$32="T",J$39,"HOH"),IF(J$39="Eviction","No Voting",INDEX(Game!$H$721:$H$731,MATCH('Voting Table'!$E31,Game!$E$721:$E$731,0))))))</f>
        <v>Christmas</v>
      </c>
      <c r="K31" s="48" t="str">
        <f ca="1">IF(COUNTIF(C$33:C$35,$E31)=1,"Nominated",IF($E31=K$10,IF(C$32="T",K$39,"HOH"),IF(K$39="Eviction","No Voting",INDEX(Game!$H$864:$H$873,MATCH($E31,Game!$E$864:$E$873,0)))))</f>
        <v>Mark</v>
      </c>
      <c r="L31" s="48" t="str">
        <f ca="1">IF(COUNTIF(A$40:A$42,$E31)=1,"Nominated",IF($E31=L$10,IF(A$39="T",L$39,"HOH"),IF(L$39="Eviction","No Voting",INDEX(Game!$H$1000:$H$1008,MATCH($E31,Game!$E$1003:$E$1011,0)))))</f>
        <v>Josh</v>
      </c>
      <c r="M31" s="48" t="str">
        <f ca="1">IF(E31=L39,"Day 51",IF(COUNTIF(B$40:B$42,$E31)=1,"Nominated",IF($E31=M$10,IF(B$39="T",M$39,"HOH"),IF(M$39="Eviction","No Voting",INDEX(Game!$H$1134:$H$1141,MATCH($E31,Game!$E$1134:$E$1141,0))))))</f>
        <v>Nominated</v>
      </c>
      <c r="N31" s="68" t="str">
        <f ca="1">IF(E31=M39,"Day 58","")</f>
        <v>Day 58</v>
      </c>
      <c r="O31" s="65"/>
      <c r="P31" s="65"/>
      <c r="Q31" s="65"/>
      <c r="R31" s="65"/>
      <c r="S31" s="65"/>
      <c r="T31" s="65"/>
      <c r="U31" s="65"/>
      <c r="V31" s="48" t="str">
        <f ca="1">INDEX(Game!$F$1815:$F$1823,MATCH('Voting Table'!E31,Game!$E$1815:$E$1823,0))</f>
        <v>Cameron</v>
      </c>
    </row>
    <row r="32" spans="1:22" x14ac:dyDescent="0.25">
      <c r="A32" s="5" t="str">
        <f ca="1">IF(Game!G576&lt;&gt;"","T","")</f>
        <v/>
      </c>
      <c r="B32" s="5" t="str">
        <f ca="1">IF(Game!G732&lt;&gt;"","T","")</f>
        <v/>
      </c>
      <c r="C32" s="29" t="str">
        <f ca="1">IF(Game!G875&lt;&gt;"","T","")</f>
        <v>T</v>
      </c>
      <c r="E32" s="35" t="str">
        <f ca="1">Game!G1034</f>
        <v>Josh</v>
      </c>
      <c r="F32" s="48" t="str">
        <f ca="1">IF(COUNTIF($F$12:$F$14,$E32)=1,"Nominated",IF(Game!$F$139="Comp","No Voting",IF($E32=$A$21,IF(COUNTIF($F$40,"*14")=1,$F$39,"Not Elig."),INDEX(Game!$H$142:$H$154,MATCH('Voting Table'!$E32,Game!$E$142:$E$154,0)))))</f>
        <v>Nominated</v>
      </c>
      <c r="G32" s="48" t="str">
        <f ca="1">IF($E32=F$39,"Day 1",IF(COUNTIF(C$29:C$30,$E32)=1,"Nominated",IF(G$10=$E32,IF(COUNTIF(G$40,"*of 13")=1,G$39,"HOH"),INDEX(Game!$H$321:$H$332,MATCH('Voting Table'!$E32,Game!$E$321:$E$332,0)))))</f>
        <v>Paul</v>
      </c>
      <c r="H32" s="48" t="str">
        <f ca="1">IF(E32="","",IF(G32="Day 1","",IF($E32=G$39,"Day 16",IF(COUNTIF(D$29:D$31,$E32)=1,"Nominated",IF(H$10=$E32,IF(D$28="T",H$39,"HOH"),INDEX(Game!$H$439:$H$449,MATCH('Voting Table'!$E32,Game!$E$439:$E$449,0)))))))</f>
        <v>HOH</v>
      </c>
      <c r="I32" s="48" t="str">
        <f ca="1">IF(E32="","",IF(COUNTIF(G32:H32,"Day*")=1,"",IF($E32=H$39,"Day 23",IF(COUNTIF(A$33:A$35,$E32)=1,"Nominated",IF(I$10=$E32,IF(A$32="T",I$39,"HOH"),IF(I$39="Eviction","No Voting",INDEX(Game!$H$565:$H$574,MATCH('Voting Table'!$E32,Game!$E$565:$E$574,0))))))))</f>
        <v>No Voting</v>
      </c>
      <c r="J32" s="52" t="str">
        <f ca="1">IF(COUNTIF(Game!E627:E630,$E32),IF($E32=I$39,"Day 30",""),IF(COUNTIF(B$33:B$35,$E32)=1,"Nominated",IF(J$10=$E32,IF(B$32="T",J$39,"HOH"),IF(J$39="Eviction","No Voting",INDEX(Game!$H$721:$H$731,MATCH('Voting Table'!$E32,Game!$E$721:$E$731,0))))))</f>
        <v>Christmas</v>
      </c>
      <c r="K32" s="48" t="str">
        <f ca="1">IF(COUNTIF(C$33:C$35,$E32)=1,"Nominated",IF($E32=K$10,IF(C$32="T",K$39,"HOH"),IF(K$39="Eviction","No Voting",INDEX(Game!$H$864:$H$873,MATCH($E32,Game!$E$864:$E$873,0)))))</f>
        <v>Elena</v>
      </c>
      <c r="L32" s="48" t="str">
        <f ca="1">IF(E32=K39,"Day 44",IF(COUNTIF(A$40:A$42,$E32)=1,"Nominated",IF($E32=L$10,IF(A$39="T",L$39,"HOH"),IF(L$39="Eviction","No Voting",INDEX(Game!$H$1000:$H$1008,MATCH($E32,Game!$E$1003:$E$1011,0))))))</f>
        <v>Nominated</v>
      </c>
      <c r="M32" s="68" t="str">
        <f ca="1">IF(E32=L39,"Day 51","")</f>
        <v>Day 51</v>
      </c>
      <c r="N32" s="65"/>
      <c r="O32" s="65"/>
      <c r="P32" s="65"/>
      <c r="Q32" s="65"/>
      <c r="R32" s="65"/>
      <c r="S32" s="65"/>
      <c r="T32" s="65"/>
      <c r="U32" s="65"/>
      <c r="V32" s="84"/>
    </row>
    <row r="33" spans="1:22" x14ac:dyDescent="0.25">
      <c r="A33" s="5" t="str">
        <f ca="1">Game!G556</f>
        <v>Cameron</v>
      </c>
      <c r="B33" s="5" t="str">
        <f ca="1">Game!G712</f>
        <v>Christmas</v>
      </c>
      <c r="C33" s="29" t="str">
        <f ca="1">Game!G855</f>
        <v>Elena</v>
      </c>
      <c r="E33" s="35" t="str">
        <f ca="1">Game!H1034</f>
        <v>Elena</v>
      </c>
      <c r="F33" s="48" t="str">
        <f ca="1">IF(E33="","",IF(COUNTIF($F$12:$F$14,$E33)=1,"Nominated",IF(Game!$F$139="Comp","No Voting",IF($E33=$A$21,IF(COUNTIF($F$40,"*14")=1,$F$39,"Not Elig."),INDEX(Game!$H$142:$H$154,MATCH('Voting Table'!$E33,Game!$E$142:$E$154,0))))))</f>
        <v>Nominated</v>
      </c>
      <c r="G33" s="48" t="str">
        <f ca="1">IF($E33=F$39,"Day 1",IF(COUNTIF(C$29:C$30,$E33)=1,"Nominated",IF(G$10=$E33,IF(COUNTIF(G$40,"*of 13")=1,G$39,"HOH"),INDEX(Game!$H$321:$H$332,MATCH('Voting Table'!$E33,Game!$E$321:$E$332,0)))))</f>
        <v>Megan</v>
      </c>
      <c r="H33" s="48" t="str">
        <f ca="1">IF(E33="","",IF(G33="Day 1","",IF($E33=G$39,"Day 16",IF(COUNTIF(D$29:D$31,$E33)=1,"Nominated",IF(H$10=$E33,IF(D$28="T",H$39,"HOH"),INDEX(Game!$H$439:$H$449,MATCH('Voting Table'!$E33,Game!$E$439:$E$449,0)))))))</f>
        <v>Nominated</v>
      </c>
      <c r="I33" s="48" t="str">
        <f ca="1">IF(COUNTIF(G33:H33,"Day*")=1,"",IF($E33=H$39,"Day 23",IF(COUNTIF(A$33:A$35,$E33)=1,"Nominated",IF(I$10=$E33,IF(A$32="T",I$39,"HOH"),IF(I$39="Eviction","No Voting",INDEX(Game!$H$565:$H$574,MATCH('Voting Table'!$E33,Game!$E$565:$E$574,0)))))))</f>
        <v>No Voting</v>
      </c>
      <c r="J33" s="52" t="str">
        <f ca="1">IF(COUNTIF(Game!E628:E631,$E33),IF($E33=I$39,"Day 30",""),IF(COUNTIF(B$33:B$35,$E33)=1,"Nominated",IF(J$10=$E33,IF(B$32="T",J$39,"HOH"),IF(J$39="Eviction","No Voting",INDEX(Game!$H$721:$H$731,MATCH('Voting Table'!$E33,Game!$E$721:$E$731,0))))))</f>
        <v>Ramses</v>
      </c>
      <c r="K33" s="48" t="str">
        <f ca="1">IF(J39=E33,"Day 37",IF(COUNTIF(C$33:C$35,$E33)=1,"Nominated",IF($E33=K$10,IF(C$32="T",K$39,"HOH"),IF(K$39="Eviction","No Voting",INDEX(Game!$H$864:$H$873,MATCH($E33,Game!$E$864:$E$873,0))))))</f>
        <v>Nominated</v>
      </c>
      <c r="L33" s="68" t="str">
        <f ca="1">IF(K$39=$E33,"Day 44","")</f>
        <v>Day 44</v>
      </c>
      <c r="M33" s="65"/>
      <c r="N33" s="65"/>
      <c r="O33" s="65"/>
      <c r="P33" s="65"/>
      <c r="Q33" s="65"/>
      <c r="R33" s="65"/>
      <c r="S33" s="65"/>
      <c r="T33" s="65"/>
      <c r="U33" s="65"/>
      <c r="V33" s="84"/>
    </row>
    <row r="34" spans="1:22" x14ac:dyDescent="0.25">
      <c r="A34" s="5" t="str">
        <f ca="1">Game!G557</f>
        <v>Mark</v>
      </c>
      <c r="B34" s="5" t="str">
        <f ca="1">Game!G713</f>
        <v>Ramses</v>
      </c>
      <c r="C34" s="29" t="str">
        <f ca="1">Game!G856</f>
        <v>Mark</v>
      </c>
      <c r="E34" s="35" t="str">
        <f ca="1">Game!I1034</f>
        <v>Ramses</v>
      </c>
      <c r="F34" s="48" t="str">
        <f ca="1">IF(COUNTIF($F$12:$F$14,$E34)=1,"Nominated",IF(Game!$F$139="Comp","No Voting",IF($E34=$A$21,IF(COUNTIF($F$40,"*14")=1,$F$39,"Not Elig."),INDEX(Game!$H$142:$H$154,MATCH('Voting Table'!$E34,Game!$E$142:$E$154,0)))))</f>
        <v>No Voting</v>
      </c>
      <c r="G34" s="48" t="str">
        <f ca="1">IF($E34=F$39,"Day 1",IF(COUNTIF(C$29:C$30,$E34)=1,"Nominated",IF(G$10=$E34,IF(COUNTIF(G$40,"*of 13")=1,G$39,"HOH"),INDEX(Game!$H$321:$H$332,MATCH('Voting Table'!$E34,Game!$E$321:$E$332,0)))))</f>
        <v>Megan</v>
      </c>
      <c r="H34" s="48" t="str">
        <f ca="1">IF(G34="Day 1","",IF($E34=G$39,"Day 16",IF(COUNTIF(D$29:D$31,$E34)=1,"Nominated",IF(H$10=$E34,IF(D$28="T",H$39,"HOH"),INDEX(Game!$H$439:$H$449,MATCH('Voting Table'!$E34,Game!$E$439:$E$449,0))))))</f>
        <v>Elena</v>
      </c>
      <c r="I34" s="48" t="str">
        <f ca="1">IF(COUNTIF(G34:H34,"Day*")=1,"",IF($E34=H$39,"Day 23",IF(COUNTIF(A$33:A$35,$E34)=1,"Nominated",IF(I$10=$E34,IF(A$32="T",I$39,"HOH"),IF(I$39="Eviction","No Voting",INDEX(Game!$H$565:$H$574,MATCH('Voting Table'!$E34,Game!$E$565:$E$574,0)))))))</f>
        <v>HOH</v>
      </c>
      <c r="J34" s="52" t="str">
        <f ca="1">IF(COUNTIF(Game!E629:E632,$E34),IF($E34=I$39,"Day 30",""),IF(COUNTIF(B$33:B$35,$E34)=1,"Nominated",IF(J$10=$E34,IF(B$32="T",J$39,"HOH"),IF(J$39="Eviction","No Voting",INDEX(Game!$H$721:$H$731,MATCH('Voting Table'!$E34,Game!$E$721:$E$731,0))))))</f>
        <v>Nominated</v>
      </c>
      <c r="K34" s="69" t="str">
        <f ca="1">IF(J39=E34,"Day 37","")</f>
        <v>Day 37</v>
      </c>
      <c r="L34" s="66"/>
      <c r="M34" s="66"/>
      <c r="N34" s="66"/>
      <c r="O34" s="66"/>
      <c r="P34" s="66"/>
      <c r="Q34" s="66"/>
      <c r="R34" s="66"/>
      <c r="S34" s="66"/>
      <c r="T34" s="66"/>
      <c r="U34" s="66"/>
      <c r="V34" s="85"/>
    </row>
    <row r="35" spans="1:22" x14ac:dyDescent="0.25">
      <c r="A35" s="5" t="str">
        <f ca="1">Game!G558</f>
        <v/>
      </c>
      <c r="B35" s="5" t="str">
        <f ca="1">Game!G714</f>
        <v/>
      </c>
      <c r="C35" s="29" t="str">
        <f ca="1">Game!G857</f>
        <v/>
      </c>
      <c r="E35" s="35" t="str">
        <f ca="1">Game!J1034</f>
        <v>Paul</v>
      </c>
      <c r="F35" s="48" t="str">
        <f ca="1">IF(COUNTIF($F$12:$F$14,$E35)=1,"Nominated",IF(Game!$F$139="Comp","No Voting",IF($E35=$A$21,IF(COUNTIF($F$40,"*14")=1,$F$39,"Not Elig."),INDEX(Game!$H$142:$H$154,MATCH('Voting Table'!$E35,Game!$E$142:$E$154,0)))))</f>
        <v>No Voting</v>
      </c>
      <c r="G35" s="48" t="str">
        <f ca="1">IF(COUNTIF(C$29:C$30,$E35)=1,"Nominated",IF(G$10=$E35,IF(COUNTIF(G$40,"*of 13")=1,G$39,"HOH"),INDEX(Game!$H$321:$H$332,MATCH('Voting Table'!$E35,Game!$E$321:$E$332,0))))</f>
        <v>Nominated</v>
      </c>
      <c r="H35" s="48" t="str">
        <f ca="1">IF(G35="Day 1","",IF($E35=G$39,"Day 16",IF(COUNTIF(D$29:D$31,$E35)=1,"Nominated",IF(H$10=$E35,IF(D$28="T",H$39,"HOH"),INDEX(Game!$H$439:$H$449,MATCH('Voting Table'!$E35,Game!$E$439:$E$449,0))))))</f>
        <v>Nominated</v>
      </c>
      <c r="I35" s="69" t="str">
        <f ca="1">IF(H39=E35,"Day 23","")</f>
        <v>Day 23</v>
      </c>
      <c r="J35" s="66"/>
      <c r="K35" s="66"/>
      <c r="L35" s="66"/>
      <c r="M35" s="66"/>
      <c r="N35" s="66"/>
      <c r="O35" s="66"/>
      <c r="P35" s="66"/>
      <c r="Q35" s="66"/>
      <c r="R35" s="66"/>
      <c r="S35" s="66"/>
      <c r="T35" s="66"/>
      <c r="U35" s="66"/>
      <c r="V35" s="85"/>
    </row>
    <row r="36" spans="1:22" x14ac:dyDescent="0.25">
      <c r="A36" s="5"/>
      <c r="B36" s="5"/>
      <c r="C36" s="5"/>
      <c r="E36" s="35" t="str">
        <f ca="1">Game!K1034</f>
        <v>Kevin</v>
      </c>
      <c r="F36" s="48" t="str">
        <f ca="1">IF(COUNTIF($F$12:$F$14,$E36)=1,"Nominated",IF(Game!$F$139="Comp","No Voting",IF($E36=$A$21,IF(COUNTIF($F$40,"*14")=1,$F$39,"Not Elig."),INDEX(Game!$H$142:$H$154,MATCH('Voting Table'!$E36,Game!$E$142:$E$154,0)))))</f>
        <v>No Voting</v>
      </c>
      <c r="G36" s="37" t="s">
        <v>123</v>
      </c>
      <c r="H36" s="67" t="str">
        <f ca="1">IF(H37="Day 8","Day 16","Day 8")</f>
        <v>Day 8</v>
      </c>
      <c r="I36" s="67"/>
      <c r="J36" s="67"/>
      <c r="K36" s="67"/>
      <c r="L36" s="67"/>
      <c r="M36" s="67"/>
      <c r="N36" s="67"/>
      <c r="O36" s="67"/>
      <c r="P36" s="67"/>
      <c r="Q36" s="67"/>
      <c r="R36" s="67"/>
      <c r="S36" s="67"/>
      <c r="T36" s="67"/>
      <c r="U36" s="67"/>
      <c r="V36" s="86"/>
    </row>
    <row r="37" spans="1:22" x14ac:dyDescent="0.25">
      <c r="A37" s="5"/>
      <c r="B37" s="5"/>
      <c r="C37" s="5"/>
      <c r="D37" s="5"/>
      <c r="E37" s="35" t="str">
        <f ca="1">Game!L1034</f>
        <v>Dominique</v>
      </c>
      <c r="F37" s="37" t="str">
        <f ca="1">IF(COUNTIF($F$12:$F$14,$E37)=1,"Nominated",IF(Game!$F$139="Comp","No Voting",IF($E37=$A$21,IF(COUNTIF($F$40,"*14")=1,$F$39,"Not Elig."),INDEX(Game!$H$142:$H$154,MATCH('Voting Table'!$E37,Game!$E$142:$E$154,0)))))</f>
        <v>Nominated</v>
      </c>
      <c r="G37" s="37" t="str">
        <f ca="1">IF(F39=E37,"Day 1","Nominated")</f>
        <v>Day 1</v>
      </c>
      <c r="H37" s="68" t="str">
        <f ca="1">IF(COUNTIF(G37,"Day*")=1,"","Day 8")</f>
        <v/>
      </c>
      <c r="I37" s="65"/>
      <c r="J37" s="65"/>
      <c r="K37" s="65"/>
      <c r="L37" s="65"/>
      <c r="M37" s="65"/>
      <c r="N37" s="65"/>
      <c r="O37" s="65"/>
      <c r="P37" s="65"/>
      <c r="Q37" s="65"/>
      <c r="R37" s="65"/>
      <c r="S37" s="65"/>
      <c r="T37" s="65"/>
      <c r="U37" s="65"/>
      <c r="V37" s="84"/>
    </row>
    <row r="38" spans="1:22" ht="4.5" customHeight="1" x14ac:dyDescent="0.25">
      <c r="A38" s="5"/>
      <c r="B38" s="5"/>
      <c r="C38" s="5"/>
      <c r="D38" s="5"/>
      <c r="E38" s="43"/>
      <c r="F38" s="43"/>
      <c r="G38" s="43"/>
      <c r="H38" s="43"/>
      <c r="I38" s="43"/>
      <c r="J38" s="43"/>
      <c r="K38" s="43"/>
      <c r="L38" s="43"/>
      <c r="M38" s="43"/>
      <c r="N38" s="43"/>
      <c r="O38" s="43"/>
      <c r="P38" s="43"/>
      <c r="Q38" s="43"/>
      <c r="R38" s="43"/>
      <c r="S38" s="43"/>
      <c r="T38" s="43"/>
      <c r="U38" s="43"/>
      <c r="V38" s="43"/>
    </row>
    <row r="39" spans="1:22" x14ac:dyDescent="0.25">
      <c r="A39" t="str">
        <f ca="1">IF(Game!G1010="","","T")</f>
        <v/>
      </c>
      <c r="B39" t="str">
        <f ca="1">IF(Game!G1143="","","T")</f>
        <v/>
      </c>
      <c r="C39" s="5"/>
      <c r="D39" s="5" t="str">
        <f ca="1">IF(Game!G1345="","","T")</f>
        <v>T</v>
      </c>
      <c r="E39" s="113" t="s">
        <v>124</v>
      </c>
      <c r="F39" s="56" t="str">
        <f ca="1">Game!G165</f>
        <v>Dominique</v>
      </c>
      <c r="G39" s="56" t="str">
        <f ca="1">Game!G339</f>
        <v>Megan</v>
      </c>
      <c r="H39" s="56" t="str">
        <f ca="1">Game!G460</f>
        <v>Paul</v>
      </c>
      <c r="I39" s="56" t="str">
        <f ca="1">IF(Game!E561="Halt","Eviction",Game!G585)</f>
        <v>Eviction</v>
      </c>
      <c r="J39" s="56" t="str">
        <f ca="1">IF(Game!G741="","Eviction",Game!G741)</f>
        <v>Ramses</v>
      </c>
      <c r="K39" s="56" t="str">
        <f ca="1">IF(Game!E860="Halt","Eviction",Game!G884)</f>
        <v>Elena</v>
      </c>
      <c r="L39" s="56" t="str">
        <f ca="1">IF(Game!E999="Halt","Eviction",Game!G1019)</f>
        <v>Josh</v>
      </c>
      <c r="M39" s="56" t="str">
        <f ca="1">Game!G1152</f>
        <v>Jillian</v>
      </c>
      <c r="N39" s="56" t="str">
        <f ca="1">IF(Game!E1223="No","Eviction",Game!G1236)</f>
        <v>Megan</v>
      </c>
      <c r="O39" s="56" t="str">
        <f ca="1">Game!G1350</f>
        <v>Christmas</v>
      </c>
      <c r="P39" s="56" t="str">
        <f ca="1">Game!G1462</f>
        <v>Mark</v>
      </c>
      <c r="Q39" s="56" t="str">
        <f ca="1">Game!G1568</f>
        <v>Jason</v>
      </c>
      <c r="R39" s="56" t="str">
        <f ca="1">Game!G1636</f>
        <v>Alex</v>
      </c>
      <c r="S39" s="56" t="str">
        <f ca="1">Game!G1698</f>
        <v>Matt</v>
      </c>
      <c r="T39" s="56" t="str">
        <f ca="1">E24</f>
        <v>Cody</v>
      </c>
      <c r="U39" s="56" t="str">
        <f ca="1">E23</f>
        <v>Jessica</v>
      </c>
      <c r="V39" s="79" t="str">
        <f ca="1">E22</f>
        <v>Raven</v>
      </c>
    </row>
    <row r="40" spans="1:22" x14ac:dyDescent="0.25">
      <c r="A40" t="str">
        <f ca="1">Game!G991</f>
        <v>Josh</v>
      </c>
      <c r="B40" s="5" t="str">
        <f ca="1">Game!G1127</f>
        <v>Jason</v>
      </c>
      <c r="C40" s="5" t="str">
        <f ca="1">Game!G1219</f>
        <v>Megan</v>
      </c>
      <c r="D40" s="5" t="str">
        <f ca="1">Game!G1329</f>
        <v>Raven</v>
      </c>
      <c r="E40" s="113"/>
      <c r="F40" s="57" t="str">
        <f ca="1">IF(Game!F139="Comp","Lost Comp",LARGE(Game!D162:D164,1)&amp;" of "&amp;SUM(Game!D162:D164))</f>
        <v>Lost Comp</v>
      </c>
      <c r="G40" s="57" t="str">
        <f ca="1">LARGE(Game!F337:F338,1)&amp;" of "&amp;SUM(Game!F337:F338)</f>
        <v>7 of 12</v>
      </c>
      <c r="H40" s="57" t="str">
        <f ca="1">ROUND(LARGE(Game!F456:F458,1),0)&amp;" of "&amp;SUM(Game!F459:F461)</f>
        <v>7 of 11</v>
      </c>
      <c r="I40" s="57" t="str">
        <f ca="1">IF(I39="Eviction","cancelled",Game!F586&amp;" of "&amp;SUM(Game!F586:F588))</f>
        <v>cancelled</v>
      </c>
      <c r="J40" s="57" t="str">
        <f ca="1">IF(J39="Eviction","cancelled",Game!F743&amp;" of "&amp;SUM(Game!F743:F745))</f>
        <v>6 of 11</v>
      </c>
      <c r="K40" s="57" t="str">
        <f ca="1">IF(K39="Eviction","cancelled",Game!F886&amp;" of "&amp;SUM(Game!F886:F888))</f>
        <v>6 of 11</v>
      </c>
      <c r="L40" s="57" t="str">
        <f ca="1">IF(L39="Eviction","cancelled",Game!F1024&amp;" of "&amp;SUM(Game!F1024:F1026))</f>
        <v>4 of 8</v>
      </c>
      <c r="M40" s="57" t="str">
        <f ca="1">Game!F1154&amp;" of "&amp;SUM(Game!F1154:F1156)</f>
        <v>3 of 7</v>
      </c>
      <c r="N40" s="57" t="str">
        <f ca="1">IF(N39="Eviction","cancelled",LARGE(Game!E1236:E1237,1)&amp;" of 7")</f>
        <v>6 of 7</v>
      </c>
      <c r="O40" s="57" t="str">
        <f ca="1">LARGE(Game!E1348:E1349,1)&amp;" of "&amp;SUM(Game!E1348:E1349)</f>
        <v>4 of 7</v>
      </c>
      <c r="P40" s="57" t="str">
        <f ca="1">LARGE(Game!E1457:E1458,1)&amp;" of "&amp;SUM(Game!E1457:E1458)</f>
        <v>3 of 5</v>
      </c>
      <c r="Q40" s="57" t="str">
        <f ca="1">LARGE(Game!E1566:E1567,1)&amp;" of "&amp;SUM(Game!E1566:E1567)</f>
        <v>2 of 2</v>
      </c>
      <c r="R40" s="57" t="str">
        <f ca="1">LARGE(Game!E1632:E1633,1)&amp;" of "&amp;SUM(Game!E1632:E1633)</f>
        <v>3 of 3</v>
      </c>
      <c r="S40" s="57" t="str">
        <f ca="1">LARGE(Game!E1694:E1695,1)&amp;" of "&amp;SUM(Game!E1694:E1695)</f>
        <v>2 of 2</v>
      </c>
      <c r="T40" s="57" t="s">
        <v>247</v>
      </c>
      <c r="U40" s="57" t="s">
        <v>247</v>
      </c>
      <c r="V40" s="80" t="str">
        <f ca="1">COUNTIF(V23:V31,E22)&amp;" of 9"</f>
        <v>4 of 9</v>
      </c>
    </row>
    <row r="41" spans="1:22" x14ac:dyDescent="0.25">
      <c r="A41" t="str">
        <f ca="1">Game!G992</f>
        <v>Megan</v>
      </c>
      <c r="B41" s="5" t="str">
        <f ca="1">Game!G1128</f>
        <v>Mark</v>
      </c>
      <c r="C41" s="5" t="str">
        <f ca="1">Game!G1220</f>
        <v>Matt</v>
      </c>
      <c r="D41" s="5" t="str">
        <f ca="1">Game!G1330</f>
        <v>Christmas</v>
      </c>
      <c r="E41" s="43"/>
      <c r="F41" s="71"/>
      <c r="G41" s="71"/>
      <c r="H41" s="71"/>
      <c r="I41" s="58" t="str">
        <f ca="1">Game!G627</f>
        <v>Megan</v>
      </c>
      <c r="J41" s="71"/>
      <c r="K41" s="71"/>
      <c r="L41" s="71"/>
      <c r="M41" s="71"/>
      <c r="N41" s="43"/>
      <c r="O41" s="43"/>
      <c r="P41" s="43"/>
      <c r="Q41" s="43"/>
      <c r="R41" s="43"/>
      <c r="S41" s="43"/>
      <c r="T41" s="43"/>
      <c r="U41" s="43"/>
      <c r="V41" s="81" t="str">
        <f ca="1">E21</f>
        <v>Cameron</v>
      </c>
    </row>
    <row r="42" spans="1:22" x14ac:dyDescent="0.25">
      <c r="A42" t="str">
        <f ca="1">Game!G993</f>
        <v>Alex</v>
      </c>
      <c r="B42" s="5" t="str">
        <f ca="1">Game!G1129</f>
        <v>Jillian</v>
      </c>
      <c r="C42" s="5"/>
      <c r="D42" s="5"/>
      <c r="E42" s="43"/>
      <c r="F42" s="71"/>
      <c r="G42" s="71"/>
      <c r="H42" s="71"/>
      <c r="I42" s="59" t="s">
        <v>166</v>
      </c>
      <c r="J42" s="71"/>
      <c r="K42" s="71"/>
      <c r="L42" s="71"/>
      <c r="M42" s="71"/>
      <c r="N42" s="43"/>
      <c r="O42" s="43"/>
      <c r="P42" s="43"/>
      <c r="Q42" s="43"/>
      <c r="R42" s="43"/>
      <c r="S42" s="43"/>
      <c r="T42" s="43"/>
      <c r="U42" s="43"/>
      <c r="V42" s="77" t="str">
        <f ca="1">COUNTIF(V23:V31,E21)&amp;" of 9"</f>
        <v>5 of 9</v>
      </c>
    </row>
    <row r="43" spans="1:22" x14ac:dyDescent="0.25">
      <c r="D43" s="5" t="str">
        <f ca="1">IF(Game!G1287=Game!G1278,Game!F1287,"")</f>
        <v/>
      </c>
    </row>
    <row r="44" spans="1:22" x14ac:dyDescent="0.25">
      <c r="A44" s="5"/>
      <c r="B44" s="5" t="str">
        <f ca="1">IF(Game!G1563="","","T")</f>
        <v/>
      </c>
      <c r="C44" s="5"/>
      <c r="D44" s="5" t="str">
        <f ca="1">IF(Game!G1693="","","T")</f>
        <v/>
      </c>
    </row>
    <row r="45" spans="1:22" x14ac:dyDescent="0.25">
      <c r="A45" s="5" t="str">
        <f ca="1">Game!G1441</f>
        <v>Mark</v>
      </c>
      <c r="B45" s="5" t="str">
        <f ca="1">Game!G1549</f>
        <v>Jessica</v>
      </c>
      <c r="C45" s="5" t="str">
        <f ca="1">Game!G1625</f>
        <v>Alex</v>
      </c>
      <c r="D45" s="5" t="str">
        <f ca="1">Game!G1684</f>
        <v>Matt</v>
      </c>
    </row>
    <row r="46" spans="1:22" x14ac:dyDescent="0.25">
      <c r="A46" s="5" t="str">
        <f ca="1">Game!G1442</f>
        <v>Matt</v>
      </c>
      <c r="B46" s="5" t="str">
        <f ca="1">Game!G1550</f>
        <v>Jason</v>
      </c>
      <c r="C46" s="5" t="str">
        <f ca="1">Game!G1626</f>
        <v>Cameron</v>
      </c>
      <c r="D46" s="5" t="str">
        <f ca="1">Game!G1685</f>
        <v>Cody</v>
      </c>
    </row>
    <row r="47" spans="1:22" x14ac:dyDescent="0.25">
      <c r="A47" s="5"/>
      <c r="B47" s="5"/>
      <c r="C47" s="5"/>
      <c r="D47" s="5"/>
    </row>
    <row r="48" spans="1:22" x14ac:dyDescent="0.25">
      <c r="A48" s="5" t="str">
        <f ca="1">Game!F1397</f>
        <v/>
      </c>
      <c r="B48" s="5" t="str">
        <f ca="1">Game!F1508</f>
        <v/>
      </c>
      <c r="C48" s="5"/>
    </row>
    <row r="50" spans="1:1" x14ac:dyDescent="0.25">
      <c r="A50" s="5" t="str">
        <f ca="1">Game!G1744</f>
        <v>Jessica</v>
      </c>
    </row>
    <row r="51" spans="1:1" x14ac:dyDescent="0.25">
      <c r="A51" s="5" t="str">
        <f ca="1">Game!G1745</f>
        <v>Cody</v>
      </c>
    </row>
  </sheetData>
  <sheetProtection algorithmName="SHA-512" hashValue="6mxnOMxreOi1N0iEEigK2vooCM0vsFfc2DIz8TYLFmSjFdpg5zSknEYc453vJXQkz+6OAQY5DZVpSflckU8qKw==" saltValue="sCXg6Jqh3QS8pyfhifnzZg==" spinCount="100000" sheet="1" objects="1" scenarios="1" selectLockedCells="1"/>
  <mergeCells count="72">
    <mergeCell ref="K2:K6"/>
    <mergeCell ref="K8:K9"/>
    <mergeCell ref="K17:K19"/>
    <mergeCell ref="K15:K16"/>
    <mergeCell ref="P12:P14"/>
    <mergeCell ref="P17:P19"/>
    <mergeCell ref="L15:L16"/>
    <mergeCell ref="M15:M16"/>
    <mergeCell ref="N15:N16"/>
    <mergeCell ref="O15:O16"/>
    <mergeCell ref="P15:P16"/>
    <mergeCell ref="P2:P6"/>
    <mergeCell ref="P8:P9"/>
    <mergeCell ref="L2:L6"/>
    <mergeCell ref="L8:L9"/>
    <mergeCell ref="L17:L19"/>
    <mergeCell ref="J2:J6"/>
    <mergeCell ref="E17:E19"/>
    <mergeCell ref="E39:E40"/>
    <mergeCell ref="E8:E9"/>
    <mergeCell ref="E12:E14"/>
    <mergeCell ref="E2:E6"/>
    <mergeCell ref="E15:E16"/>
    <mergeCell ref="J8:J9"/>
    <mergeCell ref="J12:J14"/>
    <mergeCell ref="J17:J19"/>
    <mergeCell ref="F15:F19"/>
    <mergeCell ref="G15:G16"/>
    <mergeCell ref="H15:H16"/>
    <mergeCell ref="I15:I16"/>
    <mergeCell ref="J15:J16"/>
    <mergeCell ref="I2:I6"/>
    <mergeCell ref="I8:I9"/>
    <mergeCell ref="I12:I14"/>
    <mergeCell ref="I17:I19"/>
    <mergeCell ref="H2:H6"/>
    <mergeCell ref="F2:F7"/>
    <mergeCell ref="G17:G19"/>
    <mergeCell ref="F8:G8"/>
    <mergeCell ref="H12:H14"/>
    <mergeCell ref="H17:H19"/>
    <mergeCell ref="H8:H9"/>
    <mergeCell ref="O2:O6"/>
    <mergeCell ref="O8:O9"/>
    <mergeCell ref="O12:O14"/>
    <mergeCell ref="O17:O19"/>
    <mergeCell ref="M8:N8"/>
    <mergeCell ref="M2:M6"/>
    <mergeCell ref="M17:M19"/>
    <mergeCell ref="N2:N7"/>
    <mergeCell ref="U12:U14"/>
    <mergeCell ref="R17:R19"/>
    <mergeCell ref="S15:S16"/>
    <mergeCell ref="T15:T16"/>
    <mergeCell ref="N12:N14"/>
    <mergeCell ref="N17:N19"/>
    <mergeCell ref="U8:V8"/>
    <mergeCell ref="Q2:V7"/>
    <mergeCell ref="R12:R14"/>
    <mergeCell ref="Q12:Q14"/>
    <mergeCell ref="Q17:Q19"/>
    <mergeCell ref="Q15:Q16"/>
    <mergeCell ref="Q8:R8"/>
    <mergeCell ref="R15:R16"/>
    <mergeCell ref="S17:S19"/>
    <mergeCell ref="S8:T8"/>
    <mergeCell ref="T17:T19"/>
    <mergeCell ref="U15:U19"/>
    <mergeCell ref="R11:U11"/>
    <mergeCell ref="V10:V19"/>
    <mergeCell ref="S12:S14"/>
    <mergeCell ref="T12:T14"/>
  </mergeCells>
  <conditionalFormatting sqref="G7">
    <cfRule type="expression" dxfId="31" priority="467">
      <formula>COUNTIF($A$7,1)</formula>
    </cfRule>
  </conditionalFormatting>
  <conditionalFormatting sqref="H7">
    <cfRule type="expression" dxfId="30" priority="436">
      <formula>COUNTIF($B$7,1)</formula>
    </cfRule>
  </conditionalFormatting>
  <conditionalFormatting sqref="G2:G6">
    <cfRule type="expression" dxfId="29" priority="435">
      <formula>COUNTIF($A$5,G2)=1</formula>
    </cfRule>
  </conditionalFormatting>
  <conditionalFormatting sqref="I7">
    <cfRule type="expression" dxfId="28" priority="393">
      <formula>COUNTIF($C$7,1)</formula>
    </cfRule>
  </conditionalFormatting>
  <conditionalFormatting sqref="J7">
    <cfRule type="expression" dxfId="27" priority="364">
      <formula>COUNTIF($D$7,1)</formula>
    </cfRule>
  </conditionalFormatting>
  <conditionalFormatting sqref="G37 F21:N35">
    <cfRule type="containsText" dxfId="26" priority="495" operator="containsText" text="Day">
      <formula>NOT(ISERROR(SEARCH("Day",F21)))</formula>
    </cfRule>
  </conditionalFormatting>
  <conditionalFormatting sqref="H37:V37">
    <cfRule type="expression" dxfId="25" priority="244">
      <formula>COUNTIF($H$37,"Day 8")</formula>
    </cfRule>
  </conditionalFormatting>
  <conditionalFormatting sqref="H21:J35">
    <cfRule type="containsBlanks" dxfId="24" priority="492">
      <formula>LEN(TRIM(H21))=0</formula>
    </cfRule>
  </conditionalFormatting>
  <conditionalFormatting sqref="K7">
    <cfRule type="expression" dxfId="23" priority="226">
      <formula>COUNTIF($A$8,1)</formula>
    </cfRule>
  </conditionalFormatting>
  <conditionalFormatting sqref="I21:L34">
    <cfRule type="containsText" dxfId="22" priority="242" operator="containsText" text="No Voting">
      <formula>NOT(ISERROR(SEARCH("No Voting",I21)))</formula>
    </cfRule>
  </conditionalFormatting>
  <conditionalFormatting sqref="F21:F37">
    <cfRule type="containsText" dxfId="21" priority="245" operator="containsText" text="No Voting">
      <formula>NOT(ISERROR(SEARCH("No Voting",F21)))</formula>
    </cfRule>
  </conditionalFormatting>
  <conditionalFormatting sqref="H36:V36">
    <cfRule type="expression" dxfId="20" priority="470">
      <formula>COUNTIF($H$36,"Day 16")</formula>
    </cfRule>
  </conditionalFormatting>
  <conditionalFormatting sqref="K21:L33">
    <cfRule type="expression" dxfId="19" priority="227">
      <formula>COUNTIF(K$11,$E21)=1</formula>
    </cfRule>
  </conditionalFormatting>
  <conditionalFormatting sqref="M7">
    <cfRule type="expression" dxfId="18" priority="118">
      <formula>COUNTIF($A$8,1)</formula>
    </cfRule>
  </conditionalFormatting>
  <conditionalFormatting sqref="M21:M31">
    <cfRule type="expression" dxfId="17" priority="116">
      <formula>COUNTIF(M$11,$E21)=1</formula>
    </cfRule>
    <cfRule type="containsText" dxfId="16" priority="117" operator="containsText" text="No Voting">
      <formula>NOT(ISERROR(SEARCH("No Voting",M21)))</formula>
    </cfRule>
  </conditionalFormatting>
  <conditionalFormatting sqref="N21:N29">
    <cfRule type="containsText" dxfId="15" priority="71" operator="containsText" text="No Voting">
      <formula>NOT(ISERROR(SEARCH("No Voting",N21)))</formula>
    </cfRule>
  </conditionalFormatting>
  <conditionalFormatting sqref="F21:H37">
    <cfRule type="containsBlanks" dxfId="14" priority="55">
      <formula>LEN(TRIM(F21))=0</formula>
    </cfRule>
  </conditionalFormatting>
  <conditionalFormatting sqref="F21:H37 I35:I37 J21:N37">
    <cfRule type="expression" dxfId="13" priority="54">
      <formula>COUNTIF(F21,"Day*")+COUNTIF(F21,"")=1</formula>
    </cfRule>
  </conditionalFormatting>
  <conditionalFormatting sqref="I34">
    <cfRule type="containsText" dxfId="12" priority="53" operator="containsText" text="Day">
      <formula>NOT(ISERROR(SEARCH("Day",I34)))</formula>
    </cfRule>
  </conditionalFormatting>
  <conditionalFormatting sqref="F21:F37">
    <cfRule type="expression" dxfId="11" priority="241">
      <formula>COUNTIF($A$21:$A$29,$E21)</formula>
    </cfRule>
    <cfRule type="containsText" dxfId="10" priority="493" operator="containsText" text="Not Elig.">
      <formula>NOT(ISERROR(SEARCH("Not Elig.",F21)))</formula>
    </cfRule>
  </conditionalFormatting>
  <conditionalFormatting sqref="G21:I34">
    <cfRule type="expression" dxfId="9" priority="240">
      <formula>COUNTIF($B$22,$E21)</formula>
    </cfRule>
  </conditionalFormatting>
  <conditionalFormatting sqref="I39:N40">
    <cfRule type="expression" dxfId="8" priority="496">
      <formula>COUNTIF(I$39,"Eviction")=1</formula>
    </cfRule>
  </conditionalFormatting>
  <conditionalFormatting sqref="O21:O29">
    <cfRule type="expression" dxfId="7" priority="497">
      <formula>$E21=$D$43</formula>
    </cfRule>
  </conditionalFormatting>
  <conditionalFormatting sqref="O21:Q29">
    <cfRule type="containsText" dxfId="6" priority="498" operator="containsText" text="Ineligible">
      <formula>NOT(ISERROR(SEARCH("Ineligible",O21)))</formula>
    </cfRule>
  </conditionalFormatting>
  <conditionalFormatting sqref="P21:P28">
    <cfRule type="expression" dxfId="5" priority="500">
      <formula>$E21=$A$48</formula>
    </cfRule>
  </conditionalFormatting>
  <conditionalFormatting sqref="Q21:Q27">
    <cfRule type="expression" dxfId="4" priority="501">
      <formula>$E21=$B$48</formula>
    </cfRule>
  </conditionalFormatting>
  <conditionalFormatting sqref="F21:U37">
    <cfRule type="containsText" dxfId="3" priority="156" operator="containsText" text="HOH">
      <formula>NOT(ISERROR(SEARCH("HOH",F21)))</formula>
    </cfRule>
    <cfRule type="expression" dxfId="2" priority="160">
      <formula>COUNTIF(F$10,$E21)</formula>
    </cfRule>
    <cfRule type="containsText" dxfId="1" priority="239" operator="containsText" text="Nominated">
      <formula>NOT(ISERROR(SEARCH("Nominated",F21)))</formula>
    </cfRule>
  </conditionalFormatting>
  <conditionalFormatting sqref="G21:G36">
    <cfRule type="expression" dxfId="0" priority="1">
      <formula>COUNTIF(E21,$B$21)=1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Cast</vt:lpstr>
      <vt:lpstr>Game</vt:lpstr>
      <vt:lpstr>Relationships</vt:lpstr>
      <vt:lpstr>Popularity</vt:lpstr>
      <vt:lpstr>Sheet4</vt:lpstr>
      <vt:lpstr>Voting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dc:creator>
  <cp:lastModifiedBy>Brandon</cp:lastModifiedBy>
  <dcterms:created xsi:type="dcterms:W3CDTF">2018-10-05T16:56:20Z</dcterms:created>
  <dcterms:modified xsi:type="dcterms:W3CDTF">2021-05-03T01:55:45Z</dcterms:modified>
</cp:coreProperties>
</file>