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64a49d6604ae81/Documents/Christy Watson Homes/Clients/Watson Breckenridge/"/>
    </mc:Choice>
  </mc:AlternateContent>
  <xr:revisionPtr revIDLastSave="81" documentId="B3E52F8040403DDE604B0330715C975797B9B1B2" xr6:coauthVersionLast="47" xr6:coauthVersionMax="47" xr10:uidLastSave="{21985916-5011-46E3-982A-AF1704734497}"/>
  <bookViews>
    <workbookView xWindow="52635" yWindow="1410" windowWidth="23340" windowHeight="19680" xr2:uid="{00000000-000D-0000-FFFF-FFFF00000000}"/>
  </bookViews>
  <sheets>
    <sheet name="All $ per SqFt Same" sheetId="1" r:id="rId1"/>
    <sheet name="Basement Valued at 50%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F20" i="2" s="1"/>
  <c r="M20" i="2" s="1"/>
  <c r="J20" i="2"/>
  <c r="O20" i="2"/>
  <c r="P20" i="2"/>
  <c r="C21" i="2"/>
  <c r="F21" i="2" s="1"/>
  <c r="M21" i="2" s="1"/>
  <c r="J21" i="2"/>
  <c r="O21" i="2"/>
  <c r="P21" i="2"/>
  <c r="K20" i="2" l="1"/>
  <c r="K21" i="2"/>
  <c r="F15" i="1"/>
  <c r="F16" i="1"/>
  <c r="F13" i="1"/>
  <c r="F14" i="1"/>
  <c r="F17" i="1"/>
  <c r="F18" i="1"/>
  <c r="F19" i="1"/>
  <c r="C14" i="2"/>
  <c r="C15" i="2"/>
  <c r="C16" i="2"/>
  <c r="C17" i="2"/>
  <c r="C18" i="2"/>
  <c r="C19" i="2"/>
  <c r="C22" i="2"/>
  <c r="C13" i="2"/>
  <c r="K17" i="1" l="1"/>
  <c r="J17" i="1"/>
  <c r="N17" i="1"/>
  <c r="F17" i="2"/>
  <c r="M17" i="2" s="1"/>
  <c r="J17" i="2"/>
  <c r="K17" i="2"/>
  <c r="N17" i="2"/>
  <c r="O17" i="2" s="1"/>
  <c r="F13" i="2"/>
  <c r="F14" i="2"/>
  <c r="F15" i="2"/>
  <c r="F16" i="2"/>
  <c r="F18" i="2"/>
  <c r="F19" i="2"/>
  <c r="M19" i="2" s="1"/>
  <c r="K16" i="2"/>
  <c r="J16" i="2"/>
  <c r="K14" i="2"/>
  <c r="J14" i="2"/>
  <c r="O13" i="2"/>
  <c r="O15" i="2"/>
  <c r="O18" i="2"/>
  <c r="O19" i="2"/>
  <c r="O22" i="2"/>
  <c r="O14" i="2"/>
  <c r="O16" i="2"/>
  <c r="P22" i="2"/>
  <c r="J22" i="2"/>
  <c r="K22" i="2"/>
  <c r="K19" i="2"/>
  <c r="J19" i="2"/>
  <c r="N13" i="1"/>
  <c r="N14" i="1"/>
  <c r="N15" i="1"/>
  <c r="N16" i="1"/>
  <c r="N18" i="1"/>
  <c r="N19" i="1"/>
  <c r="K19" i="1"/>
  <c r="J19" i="1"/>
  <c r="F22" i="2" l="1"/>
  <c r="M22" i="2" s="1"/>
  <c r="K18" i="2"/>
  <c r="J18" i="2"/>
  <c r="M18" i="2"/>
  <c r="M16" i="2"/>
  <c r="K15" i="2"/>
  <c r="J15" i="2"/>
  <c r="M15" i="2"/>
  <c r="M14" i="2"/>
  <c r="K13" i="2"/>
  <c r="J13" i="2"/>
  <c r="M13" i="2"/>
  <c r="J8" i="2"/>
  <c r="J3" i="2"/>
  <c r="F2" i="2"/>
  <c r="K8" i="1"/>
  <c r="J8" i="1"/>
  <c r="J3" i="1"/>
  <c r="K18" i="1"/>
  <c r="J18" i="1"/>
  <c r="K16" i="1"/>
  <c r="J16" i="1"/>
  <c r="K15" i="1"/>
  <c r="J15" i="1"/>
  <c r="K14" i="1"/>
  <c r="J14" i="1"/>
  <c r="M23" i="2" l="1"/>
  <c r="J4" i="2" s="1"/>
  <c r="J24" i="2"/>
  <c r="K24" i="2"/>
  <c r="J23" i="2"/>
  <c r="K23" i="2"/>
  <c r="K3" i="1"/>
  <c r="M24" i="2" l="1"/>
  <c r="J7" i="2" s="1"/>
  <c r="J2" i="2"/>
  <c r="J5" i="2"/>
  <c r="F2" i="1"/>
  <c r="J9" i="2" l="1"/>
  <c r="J10" i="2"/>
  <c r="K13" i="1"/>
  <c r="K21" i="1" s="1"/>
  <c r="J13" i="1"/>
  <c r="J21" i="1" s="1"/>
  <c r="J22" i="1" l="1"/>
  <c r="K4" i="1"/>
  <c r="K22" i="1"/>
  <c r="K2" i="1" l="1"/>
  <c r="K5" i="1"/>
  <c r="K7" i="1"/>
  <c r="K10" i="1"/>
  <c r="K9" i="1"/>
  <c r="J7" i="1"/>
  <c r="J10" i="1"/>
  <c r="J9" i="1"/>
  <c r="J2" i="1"/>
  <c r="J5" i="1"/>
  <c r="J4" i="1"/>
</calcChain>
</file>

<file path=xl/sharedStrings.xml><?xml version="1.0" encoding="utf-8"?>
<sst xmlns="http://schemas.openxmlformats.org/spreadsheetml/2006/main" count="110" uniqueCount="52">
  <si>
    <t>Listing House</t>
  </si>
  <si>
    <t>Total Sq Ft</t>
  </si>
  <si>
    <t>Finished Basement</t>
  </si>
  <si>
    <t>Unfinished Basement</t>
  </si>
  <si>
    <t>Comp Houses</t>
  </si>
  <si>
    <t>Sale Price</t>
  </si>
  <si>
    <t>$ / Total Sq Ft</t>
  </si>
  <si>
    <t>$ / Above Grade</t>
  </si>
  <si>
    <t>Pricing</t>
  </si>
  <si>
    <t>Above Grade</t>
  </si>
  <si>
    <t>Offer Price</t>
  </si>
  <si>
    <t xml:space="preserve"> </t>
  </si>
  <si>
    <t>Averages Based on Comps</t>
  </si>
  <si>
    <t>Implied Price Based on Comps</t>
  </si>
  <si>
    <t>Difference  in $/sqft ($)</t>
  </si>
  <si>
    <t>Difference in $/sqft (%)</t>
  </si>
  <si>
    <t>3025 17th</t>
  </si>
  <si>
    <t>3065 17th</t>
  </si>
  <si>
    <t>5bd</t>
  </si>
  <si>
    <t>Notes</t>
  </si>
  <si>
    <t>2930 17th</t>
  </si>
  <si>
    <t>3bd</t>
  </si>
  <si>
    <t>4bd</t>
  </si>
  <si>
    <t>2930 18th</t>
  </si>
  <si>
    <t>3120 14th</t>
  </si>
  <si>
    <t>Implied Price Based on Comps (drop hi lo)</t>
  </si>
  <si>
    <t>Averages (drop hi lo)</t>
  </si>
  <si>
    <t>Imputed Above Grade $/SqFt</t>
  </si>
  <si>
    <t>Upper SqFt</t>
  </si>
  <si>
    <t>Main SqFt</t>
  </si>
  <si>
    <t>List Price</t>
  </si>
  <si>
    <t>% List Sale</t>
  </si>
  <si>
    <t>DOM</t>
  </si>
  <si>
    <t>Sold Date</t>
  </si>
  <si>
    <t>755 Jonquil</t>
  </si>
  <si>
    <t>717 Hawthorn</t>
  </si>
  <si>
    <t>5bd (under contract)</t>
  </si>
  <si>
    <t>640 Hawthorn</t>
  </si>
  <si>
    <t>5bd (withdrawn)</t>
  </si>
  <si>
    <t>2830 18th St</t>
  </si>
  <si>
    <t>3193 8th</t>
  </si>
  <si>
    <t>Implied $/SqFt Based on Offer Price</t>
  </si>
  <si>
    <t>Implied $/SqFtBased on Offer Price</t>
  </si>
  <si>
    <t>2035 Glenwood</t>
  </si>
  <si>
    <t>462 Shekel</t>
  </si>
  <si>
    <t>652 Silver Circle</t>
  </si>
  <si>
    <t>245 Timberline Cir</t>
  </si>
  <si>
    <t>627 Broken Lance Dr</t>
  </si>
  <si>
    <t>133 Mountain View Dr</t>
  </si>
  <si>
    <t>222 Silver Circle</t>
  </si>
  <si>
    <t>17 Meadow Lark Green</t>
  </si>
  <si>
    <t>5 Bonanza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</si>
</sst>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quotePrefix="1"/>
    <xf numFmtId="164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44" fontId="0" fillId="0" borderId="0" xfId="0" applyNumberFormat="1"/>
    <xf numFmtId="0" fontId="2" fillId="0" borderId="0" xfId="0" applyFont="1"/>
    <xf numFmtId="44" fontId="0" fillId="0" borderId="0" xfId="2" applyFont="1" applyBorder="1"/>
    <xf numFmtId="44" fontId="0" fillId="0" borderId="2" xfId="2" applyFont="1" applyBorder="1"/>
    <xf numFmtId="44" fontId="3" fillId="2" borderId="2" xfId="3" applyNumberFormat="1" applyBorder="1"/>
    <xf numFmtId="166" fontId="3" fillId="2" borderId="4" xfId="3" applyNumberFormat="1" applyBorder="1"/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6" fontId="3" fillId="0" borderId="0" xfId="3" applyNumberFormat="1" applyFill="1" applyBorder="1"/>
    <xf numFmtId="0" fontId="0" fillId="0" borderId="5" xfId="0" applyBorder="1" applyAlignment="1">
      <alignment horizontal="right" vertical="top" wrapText="1"/>
    </xf>
    <xf numFmtId="165" fontId="0" fillId="0" borderId="6" xfId="2" applyNumberFormat="1" applyFont="1" applyBorder="1"/>
    <xf numFmtId="165" fontId="0" fillId="0" borderId="7" xfId="2" applyNumberFormat="1" applyFont="1" applyBorder="1"/>
    <xf numFmtId="0" fontId="0" fillId="0" borderId="8" xfId="0" applyBorder="1" applyAlignment="1">
      <alignment horizontal="right" vertical="top" wrapText="1"/>
    </xf>
    <xf numFmtId="165" fontId="3" fillId="0" borderId="7" xfId="2" applyNumberFormat="1" applyFont="1" applyFill="1" applyBorder="1"/>
    <xf numFmtId="44" fontId="3" fillId="0" borderId="2" xfId="2" applyFont="1" applyFill="1" applyBorder="1"/>
    <xf numFmtId="44" fontId="3" fillId="2" borderId="2" xfId="2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4" applyNumberFormat="1" applyFont="1"/>
    <xf numFmtId="166" fontId="0" fillId="0" borderId="0" xfId="0" applyNumberFormat="1"/>
    <xf numFmtId="165" fontId="0" fillId="3" borderId="0" xfId="2" applyNumberFormat="1" applyFont="1" applyFill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3" xfId="4" applyNumberFormat="1" applyFont="1" applyBorder="1"/>
    <xf numFmtId="166" fontId="0" fillId="0" borderId="4" xfId="4" applyNumberFormat="1" applyFont="1" applyBorder="1"/>
    <xf numFmtId="165" fontId="4" fillId="0" borderId="6" xfId="2" applyNumberFormat="1" applyFont="1" applyFill="1" applyBorder="1"/>
    <xf numFmtId="165" fontId="4" fillId="0" borderId="7" xfId="2" applyNumberFormat="1" applyFont="1" applyFill="1" applyBorder="1"/>
    <xf numFmtId="44" fontId="4" fillId="0" borderId="0" xfId="2" applyFont="1" applyFill="1" applyBorder="1"/>
    <xf numFmtId="44" fontId="4" fillId="0" borderId="2" xfId="2" applyFont="1" applyFill="1" applyBorder="1"/>
    <xf numFmtId="44" fontId="4" fillId="0" borderId="0" xfId="2" applyFont="1" applyBorder="1"/>
    <xf numFmtId="44" fontId="4" fillId="0" borderId="2" xfId="2" applyFont="1" applyBorder="1"/>
    <xf numFmtId="166" fontId="4" fillId="0" borderId="3" xfId="4" applyNumberFormat="1" applyFont="1" applyBorder="1"/>
    <xf numFmtId="166" fontId="4" fillId="0" borderId="4" xfId="4" applyNumberFormat="1" applyFont="1" applyBorder="1"/>
  </cellXfs>
  <cellStyles count="5">
    <cellStyle name="Comma" xfId="1" builtinId="3"/>
    <cellStyle name="Currency" xfId="2" builtinId="4"/>
    <cellStyle name="Good" xfId="3" builtinId="26"/>
    <cellStyle name="Normal" xfId="0" builtinId="0"/>
    <cellStyle name="Percent" xfId="4" builtinId="5"/>
  </cellStyles>
  <dxfs count="24">
    <dxf>
      <numFmt numFmtId="166" formatCode="0.0%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0" formatCode="General"/>
    </dxf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2:P19" totalsRowShown="0">
  <autoFilter ref="A12:P19" xr:uid="{00000000-0009-0000-0100-000002000000}"/>
  <tableColumns count="16">
    <tableColumn id="1" xr3:uid="{00000000-0010-0000-0000-000001000000}" name="Comp Houses"/>
    <tableColumn id="2" xr3:uid="{00000000-0010-0000-0000-000002000000}" name="Total Sq Ft" dataDxfId="21" dataCellStyle="Comma"/>
    <tableColumn id="3" xr3:uid="{00000000-0010-0000-0000-000003000000}" name="Above Grade" dataDxfId="20" dataCellStyle="Comma">
      <calculatedColumnFormula>Table2[[#This Row],[Upper SqFt]]+Table2[[#This Row],[Main SqFt]]</calculatedColumnFormula>
    </tableColumn>
    <tableColumn id="12" xr3:uid="{00000000-0010-0000-0000-00000C000000}" name="Upper SqFt" dataDxfId="19" dataCellStyle="Comma"/>
    <tableColumn id="11" xr3:uid="{00000000-0010-0000-0000-00000B000000}" name="Main SqFt" dataDxfId="18" dataCellStyle="Comma"/>
    <tableColumn id="4" xr3:uid="{00000000-0010-0000-0000-000004000000}" name="Finished Basement" dataDxfId="17" dataCellStyle="Comma">
      <calculatedColumnFormula>Table2[[#This Row],[Total Sq Ft]]-Table2[[#This Row],[Above Grade]]-Table2[[#This Row],[Unfinished Basement]]</calculatedColumnFormula>
    </tableColumn>
    <tableColumn id="5" xr3:uid="{00000000-0010-0000-0000-000005000000}" name="Unfinished Basement" dataDxfId="16" dataCellStyle="Comma"/>
    <tableColumn id="6" xr3:uid="{00000000-0010-0000-0000-000006000000}" name="Sale Price" dataDxfId="15" dataCellStyle="Currency"/>
    <tableColumn id="7" xr3:uid="{00000000-0010-0000-0000-000007000000}" name=" "/>
    <tableColumn id="8" xr3:uid="{00000000-0010-0000-0000-000008000000}" name="$ / Total Sq Ft" dataDxfId="14" dataCellStyle="Currency">
      <calculatedColumnFormula>H13/B13</calculatedColumnFormula>
    </tableColumn>
    <tableColumn id="9" xr3:uid="{00000000-0010-0000-0000-000009000000}" name="$ / Above Grade" dataDxfId="13" dataCellStyle="Currency">
      <calculatedColumnFormula>H13/C13</calculatedColumnFormula>
    </tableColumn>
    <tableColumn id="10" xr3:uid="{00000000-0010-0000-0000-00000A000000}" name="Notes"/>
    <tableColumn id="13" xr3:uid="{00000000-0010-0000-0000-00000D000000}" name="List Price"/>
    <tableColumn id="14" xr3:uid="{00000000-0010-0000-0000-00000E000000}" name="% List Sale" dataDxfId="12" dataCellStyle="Percent">
      <calculatedColumnFormula>Table2[[#This Row],[Sale Price]]/Table2[[#This Row],[List Price]]</calculatedColumnFormula>
    </tableColumn>
    <tableColumn id="15" xr3:uid="{00000000-0010-0000-0000-00000F000000}" name="DOM" dataDxfId="11">
      <calculatedColumnFormula>_xlfn.DAYS("4/27/17", "7/25/16")</calculatedColumnFormula>
    </tableColumn>
    <tableColumn id="16" xr3:uid="{00000000-0010-0000-0000-000010000000}" name="Sold Dat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2:Q22" totalsRowShown="0">
  <autoFilter ref="A12:Q22" xr:uid="{00000000-0009-0000-0100-000001000000}"/>
  <tableColumns count="17">
    <tableColumn id="1" xr3:uid="{00000000-0010-0000-0100-000001000000}" name="Comp Houses"/>
    <tableColumn id="2" xr3:uid="{00000000-0010-0000-0100-000002000000}" name="Total Sq Ft" dataDxfId="10" dataCellStyle="Comma"/>
    <tableColumn id="3" xr3:uid="{00000000-0010-0000-0100-000003000000}" name="Above Grade" dataDxfId="9" dataCellStyle="Comma">
      <calculatedColumnFormula>Table22[[#This Row],[Upper SqFt]]+Table22[[#This Row],[Main SqFt]]</calculatedColumnFormula>
    </tableColumn>
    <tableColumn id="13" xr3:uid="{00000000-0010-0000-0100-00000D000000}" name="Upper SqFt" dataDxfId="8" dataCellStyle="Comma"/>
    <tableColumn id="12" xr3:uid="{00000000-0010-0000-0100-00000C000000}" name="Main SqFt" dataDxfId="7" dataCellStyle="Comma"/>
    <tableColumn id="4" xr3:uid="{00000000-0010-0000-0100-000004000000}" name="Finished Basement" dataDxfId="6" dataCellStyle="Comma">
      <calculatedColumnFormula>Table22[[#This Row],[Total Sq Ft]]-Table22[[#This Row],[Above Grade]]-Table22[[#This Row],[Unfinished Basement]]</calculatedColumnFormula>
    </tableColumn>
    <tableColumn id="5" xr3:uid="{00000000-0010-0000-0100-000005000000}" name="Unfinished Basement" dataDxfId="5" dataCellStyle="Comma"/>
    <tableColumn id="6" xr3:uid="{00000000-0010-0000-0100-000006000000}" name="Sale Price" dataDxfId="4" dataCellStyle="Currency"/>
    <tableColumn id="7" xr3:uid="{00000000-0010-0000-0100-000007000000}" name=" "/>
    <tableColumn id="8" xr3:uid="{00000000-0010-0000-0100-000008000000}" name="$ / Total Sq Ft" dataDxfId="3" dataCellStyle="Currency">
      <calculatedColumnFormula>H13/B13</calculatedColumnFormula>
    </tableColumn>
    <tableColumn id="9" xr3:uid="{00000000-0010-0000-0100-000009000000}" name="$ / Above Grade" dataDxfId="2" dataCellStyle="Currency">
      <calculatedColumnFormula>H13/C13</calculatedColumnFormula>
    </tableColumn>
    <tableColumn id="10" xr3:uid="{00000000-0010-0000-0100-00000A000000}" name="Notes"/>
    <tableColumn id="11" xr3:uid="{00000000-0010-0000-0100-00000B000000}" name="Imputed Above Grade $/SqFt" dataCellStyle="Currency">
      <calculatedColumnFormula>Table22[[#This Row],[Sale Price]]/(Table22[[#This Row],[Above Grade]]+(Table22[[#This Row],[Finished Basement]]/2))</calculatedColumnFormula>
    </tableColumn>
    <tableColumn id="16" xr3:uid="{00000000-0010-0000-0100-000010000000}" name="List Price" dataDxfId="1" dataCellStyle="Currency">
      <calculatedColumnFormula>Table2[[#This Row],[Sale Price]]/Table2[[#This Row],[List Price]]</calculatedColumnFormula>
    </tableColumn>
    <tableColumn id="17" xr3:uid="{00000000-0010-0000-0100-000011000000}" name="% List Sale" dataDxfId="0">
      <calculatedColumnFormula>Table22[[#This Row],[Sale Price]]/Table22[[#This Row],[List Price]]</calculatedColumnFormula>
    </tableColumn>
    <tableColumn id="18" xr3:uid="{00000000-0010-0000-0100-000012000000}" name="DOM"/>
    <tableColumn id="19" xr3:uid="{00000000-0010-0000-0100-000013000000}" name="Sold D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tabSelected="1" zoomScale="120" zoomScaleNormal="120" workbookViewId="0">
      <selection activeCell="A19" sqref="A19"/>
    </sheetView>
  </sheetViews>
  <sheetFormatPr defaultRowHeight="15" x14ac:dyDescent="0.25"/>
  <cols>
    <col min="1" max="1" width="18.7109375" bestFit="1" customWidth="1"/>
    <col min="2" max="2" width="11.42578125" customWidth="1"/>
    <col min="3" max="5" width="14.85546875" customWidth="1"/>
    <col min="6" max="6" width="18.42578125" customWidth="1"/>
    <col min="7" max="7" width="20.5703125" customWidth="1"/>
    <col min="8" max="8" width="12.140625" bestFit="1" customWidth="1"/>
    <col min="9" max="9" width="21.140625" customWidth="1"/>
    <col min="10" max="10" width="14.28515625" customWidth="1"/>
    <col min="11" max="11" width="16.28515625" customWidth="1"/>
    <col min="13" max="13" width="13.7109375" bestFit="1" customWidth="1"/>
    <col min="14" max="14" width="12.140625" bestFit="1" customWidth="1"/>
    <col min="16" max="16" width="9.42578125" bestFit="1" customWidth="1"/>
  </cols>
  <sheetData>
    <row r="1" spans="1:16" x14ac:dyDescent="0.25">
      <c r="A1" s="6" t="s">
        <v>0</v>
      </c>
      <c r="B1" s="6" t="s">
        <v>1</v>
      </c>
      <c r="C1" s="6" t="s">
        <v>9</v>
      </c>
      <c r="D1" s="6" t="s">
        <v>28</v>
      </c>
      <c r="E1" s="6" t="s">
        <v>29</v>
      </c>
      <c r="F1" s="6" t="s">
        <v>2</v>
      </c>
      <c r="G1" s="6" t="s">
        <v>3</v>
      </c>
      <c r="H1" s="6" t="s">
        <v>10</v>
      </c>
      <c r="I1" s="14" t="s">
        <v>8</v>
      </c>
      <c r="J1" s="15" t="s">
        <v>1</v>
      </c>
      <c r="K1" s="16" t="s">
        <v>9</v>
      </c>
    </row>
    <row r="2" spans="1:16" ht="30" x14ac:dyDescent="0.25">
      <c r="A2" t="s">
        <v>44</v>
      </c>
      <c r="B2" s="2">
        <v>2742</v>
      </c>
      <c r="C2" s="2">
        <v>2742</v>
      </c>
      <c r="D2" s="2"/>
      <c r="E2" s="2"/>
      <c r="F2" s="2">
        <f>B2-C2-G2</f>
        <v>0</v>
      </c>
      <c r="G2" s="2">
        <v>0</v>
      </c>
      <c r="H2" s="29">
        <v>899000</v>
      </c>
      <c r="I2" s="18" t="s">
        <v>13</v>
      </c>
      <c r="J2" s="19">
        <f>J21*$B$2</f>
        <v>974731.51813831332</v>
      </c>
      <c r="K2" s="20">
        <f>K21*$C$2</f>
        <v>974731.51813831332</v>
      </c>
      <c r="M2" s="4"/>
      <c r="N2" s="4"/>
    </row>
    <row r="3" spans="1:16" ht="30" x14ac:dyDescent="0.25">
      <c r="B3" s="2"/>
      <c r="C3" s="2"/>
      <c r="D3" s="2"/>
      <c r="E3" s="2"/>
      <c r="F3" s="2"/>
      <c r="G3" s="2"/>
      <c r="I3" s="12" t="s">
        <v>41</v>
      </c>
      <c r="J3" s="7">
        <f>H2/B2</f>
        <v>327.86287381473375</v>
      </c>
      <c r="K3" s="8">
        <f>H2/C2</f>
        <v>327.86287381473375</v>
      </c>
      <c r="M3" s="4"/>
      <c r="N3" s="4"/>
    </row>
    <row r="4" spans="1:16" ht="30" x14ac:dyDescent="0.25">
      <c r="I4" s="12" t="s">
        <v>14</v>
      </c>
      <c r="J4" s="7">
        <f>(J3-J21)</f>
        <v>-27.619080283848803</v>
      </c>
      <c r="K4" s="8">
        <f>(K3-K21)</f>
        <v>-27.619080283848803</v>
      </c>
    </row>
    <row r="5" spans="1:16" ht="30" x14ac:dyDescent="0.25">
      <c r="I5" s="21" t="s">
        <v>15</v>
      </c>
      <c r="J5" s="32">
        <f>(J3-J21)/J21</f>
        <v>-7.7694746429208206E-2</v>
      </c>
      <c r="K5" s="33">
        <f>(K3-K21)/K21</f>
        <v>-7.7694746429208206E-2</v>
      </c>
    </row>
    <row r="6" spans="1:16" x14ac:dyDescent="0.25">
      <c r="I6" s="13"/>
      <c r="J6" s="17"/>
      <c r="K6" s="17"/>
    </row>
    <row r="7" spans="1:16" ht="30" x14ac:dyDescent="0.25">
      <c r="I7" s="18" t="s">
        <v>25</v>
      </c>
      <c r="J7" s="34">
        <f>$B$2*J22</f>
        <v>923787.06240758102</v>
      </c>
      <c r="K7" s="35">
        <f>$B$2*K22</f>
        <v>923787.06240758102</v>
      </c>
    </row>
    <row r="8" spans="1:16" ht="30" x14ac:dyDescent="0.25">
      <c r="I8" s="12" t="s">
        <v>41</v>
      </c>
      <c r="J8" s="36">
        <f>$H$2/$B$2</f>
        <v>327.86287381473375</v>
      </c>
      <c r="K8" s="37">
        <f>$H$2/$B$2</f>
        <v>327.86287381473375</v>
      </c>
    </row>
    <row r="9" spans="1:16" ht="30" x14ac:dyDescent="0.25">
      <c r="I9" s="12" t="s">
        <v>14</v>
      </c>
      <c r="J9" s="38">
        <f>J8-J22</f>
        <v>-9.0397747657115701</v>
      </c>
      <c r="K9" s="39">
        <f>K8-K22</f>
        <v>-9.0397747657115701</v>
      </c>
    </row>
    <row r="10" spans="1:16" ht="30" x14ac:dyDescent="0.25">
      <c r="I10" s="21" t="s">
        <v>15</v>
      </c>
      <c r="J10" s="40">
        <f>(J8-J22)/J22</f>
        <v>-2.6832008604862779E-2</v>
      </c>
      <c r="K10" s="41">
        <f>(K8-K22)/K22</f>
        <v>-2.6832008604862779E-2</v>
      </c>
    </row>
    <row r="12" spans="1:16" x14ac:dyDescent="0.25">
      <c r="A12" t="s">
        <v>4</v>
      </c>
      <c r="B12" t="s">
        <v>1</v>
      </c>
      <c r="C12" t="s">
        <v>9</v>
      </c>
      <c r="D12" t="s">
        <v>28</v>
      </c>
      <c r="E12" t="s">
        <v>29</v>
      </c>
      <c r="F12" t="s">
        <v>2</v>
      </c>
      <c r="G12" t="s">
        <v>3</v>
      </c>
      <c r="H12" t="s">
        <v>5</v>
      </c>
      <c r="I12" t="s">
        <v>11</v>
      </c>
      <c r="J12" t="s">
        <v>6</v>
      </c>
      <c r="K12" t="s">
        <v>7</v>
      </c>
      <c r="L12" t="s">
        <v>19</v>
      </c>
      <c r="M12" t="s">
        <v>30</v>
      </c>
      <c r="N12" t="s">
        <v>31</v>
      </c>
      <c r="O12" t="s">
        <v>32</v>
      </c>
      <c r="P12" t="s">
        <v>33</v>
      </c>
    </row>
    <row r="13" spans="1:16" x14ac:dyDescent="0.25">
      <c r="A13" s="1" t="s">
        <v>45</v>
      </c>
      <c r="B13" s="2">
        <v>2492</v>
      </c>
      <c r="C13" s="2">
        <v>2492</v>
      </c>
      <c r="D13" s="2"/>
      <c r="E13" s="2"/>
      <c r="F13" s="2">
        <f>Table2[[#This Row],[Total Sq Ft]]-Table2[[#This Row],[Above Grade]]-Table2[[#This Row],[Unfinished Basement]]</f>
        <v>0</v>
      </c>
      <c r="G13" s="2">
        <v>0</v>
      </c>
      <c r="H13" s="4">
        <v>712000</v>
      </c>
      <c r="J13" s="3">
        <f t="shared" ref="J13:J19" si="0">H13/B13</f>
        <v>285.71428571428572</v>
      </c>
      <c r="K13" s="3">
        <f t="shared" ref="K13:K19" si="1">H13/C13</f>
        <v>285.71428571428572</v>
      </c>
      <c r="L13" t="s">
        <v>22</v>
      </c>
      <c r="M13" s="4">
        <v>729000</v>
      </c>
      <c r="N13" s="27">
        <f>Table2[[#This Row],[Sale Price]]/Table2[[#This Row],[List Price]]</f>
        <v>0.97668038408779145</v>
      </c>
      <c r="O13">
        <v>5</v>
      </c>
      <c r="P13" s="26">
        <v>42941</v>
      </c>
    </row>
    <row r="14" spans="1:16" x14ac:dyDescent="0.25">
      <c r="A14" t="s">
        <v>46</v>
      </c>
      <c r="B14" s="2">
        <v>2326</v>
      </c>
      <c r="C14" s="2">
        <v>2326</v>
      </c>
      <c r="D14" s="2"/>
      <c r="E14" s="2"/>
      <c r="F14" s="2">
        <f>Table2[[#This Row],[Total Sq Ft]]-Table2[[#This Row],[Above Grade]]-Table2[[#This Row],[Unfinished Basement]]</f>
        <v>0</v>
      </c>
      <c r="G14" s="2">
        <v>0</v>
      </c>
      <c r="H14" s="4">
        <v>770000</v>
      </c>
      <c r="J14" s="3">
        <f t="shared" si="0"/>
        <v>331.04041272570936</v>
      </c>
      <c r="K14" s="3">
        <f t="shared" si="1"/>
        <v>331.04041272570936</v>
      </c>
      <c r="L14" t="s">
        <v>21</v>
      </c>
      <c r="M14" s="4">
        <v>799000</v>
      </c>
      <c r="N14" s="27">
        <f>Table2[[#This Row],[Sale Price]]/Table2[[#This Row],[List Price]]</f>
        <v>0.96370463078848556</v>
      </c>
      <c r="O14">
        <v>16</v>
      </c>
      <c r="P14" s="26">
        <v>42919</v>
      </c>
    </row>
    <row r="15" spans="1:16" x14ac:dyDescent="0.25">
      <c r="A15" t="s">
        <v>47</v>
      </c>
      <c r="B15" s="2">
        <v>2592</v>
      </c>
      <c r="C15" s="2">
        <v>2592</v>
      </c>
      <c r="D15" s="2"/>
      <c r="E15" s="2"/>
      <c r="F15" s="2">
        <f>Table2[[#This Row],[Total Sq Ft]]-Table2[[#This Row],[Above Grade]]-Table2[[#This Row],[Unfinished Basement]]</f>
        <v>0</v>
      </c>
      <c r="G15" s="2">
        <v>0</v>
      </c>
      <c r="H15" s="4">
        <v>802500</v>
      </c>
      <c r="J15" s="3">
        <f t="shared" si="0"/>
        <v>309.60648148148147</v>
      </c>
      <c r="K15" s="3">
        <f t="shared" si="1"/>
        <v>309.60648148148147</v>
      </c>
      <c r="L15" t="s">
        <v>22</v>
      </c>
      <c r="M15" s="4">
        <v>839000</v>
      </c>
      <c r="N15" s="27">
        <f>Table2[[#This Row],[Sale Price]]/Table2[[#This Row],[List Price]]</f>
        <v>0.95649582836710367</v>
      </c>
      <c r="O15">
        <v>8</v>
      </c>
      <c r="P15" s="26">
        <v>42908</v>
      </c>
    </row>
    <row r="16" spans="1:16" x14ac:dyDescent="0.25">
      <c r="A16" t="s">
        <v>48</v>
      </c>
      <c r="B16" s="2">
        <v>2321</v>
      </c>
      <c r="C16" s="2">
        <v>2321</v>
      </c>
      <c r="D16" s="2"/>
      <c r="E16" s="2"/>
      <c r="F16" s="2">
        <f>Table2[[#This Row],[Total Sq Ft]]-Table2[[#This Row],[Above Grade]]-Table2[[#This Row],[Unfinished Basement]]</f>
        <v>0</v>
      </c>
      <c r="G16" s="2">
        <v>0</v>
      </c>
      <c r="H16" s="4">
        <v>810000</v>
      </c>
      <c r="J16" s="3">
        <f t="shared" si="0"/>
        <v>348.98750538560967</v>
      </c>
      <c r="K16" s="3">
        <f t="shared" si="1"/>
        <v>348.98750538560967</v>
      </c>
      <c r="L16" t="s">
        <v>22</v>
      </c>
      <c r="M16" s="4">
        <v>834900</v>
      </c>
      <c r="N16" s="27">
        <f>Table2[[#This Row],[Sale Price]]/Table2[[#This Row],[List Price]]</f>
        <v>0.97017606899029829</v>
      </c>
      <c r="O16">
        <v>3</v>
      </c>
      <c r="P16" s="26">
        <v>42886</v>
      </c>
    </row>
    <row r="17" spans="1:16" x14ac:dyDescent="0.25">
      <c r="A17" t="s">
        <v>49</v>
      </c>
      <c r="B17" s="2">
        <v>2452</v>
      </c>
      <c r="C17" s="2">
        <v>2452</v>
      </c>
      <c r="D17" s="2"/>
      <c r="E17" s="2"/>
      <c r="F17" s="2">
        <f>Table2[[#This Row],[Total Sq Ft]]-Table2[[#This Row],[Above Grade]]-Table2[[#This Row],[Unfinished Basement]]</f>
        <v>0</v>
      </c>
      <c r="G17" s="2">
        <v>0</v>
      </c>
      <c r="H17" s="4">
        <v>822000</v>
      </c>
      <c r="J17" s="3">
        <f t="shared" si="0"/>
        <v>335.23654159869494</v>
      </c>
      <c r="K17" s="3">
        <f t="shared" si="1"/>
        <v>335.23654159869494</v>
      </c>
      <c r="L17" t="s">
        <v>21</v>
      </c>
      <c r="M17" s="4">
        <v>834900</v>
      </c>
      <c r="N17" s="27">
        <f>Table2[[#This Row],[Sale Price]]/Table2[[#This Row],[List Price]]</f>
        <v>0.98454904779015451</v>
      </c>
      <c r="O17">
        <v>3</v>
      </c>
      <c r="P17" s="26">
        <v>42936</v>
      </c>
    </row>
    <row r="18" spans="1:16" x14ac:dyDescent="0.25">
      <c r="A18" t="s">
        <v>50</v>
      </c>
      <c r="B18" s="2">
        <v>2572</v>
      </c>
      <c r="C18" s="2">
        <v>2572</v>
      </c>
      <c r="D18" s="2"/>
      <c r="E18" s="2"/>
      <c r="F18" s="2">
        <f>Table2[[#This Row],[Total Sq Ft]]-Table2[[#This Row],[Above Grade]]-Table2[[#This Row],[Unfinished Basement]]</f>
        <v>0</v>
      </c>
      <c r="G18" s="2">
        <v>0</v>
      </c>
      <c r="H18" s="4">
        <v>925000</v>
      </c>
      <c r="J18" s="3">
        <f t="shared" si="0"/>
        <v>359.64230171073098</v>
      </c>
      <c r="K18" s="3">
        <f t="shared" si="1"/>
        <v>359.64230171073098</v>
      </c>
      <c r="L18" t="s">
        <v>22</v>
      </c>
      <c r="M18" s="4">
        <v>974900</v>
      </c>
      <c r="N18" s="27">
        <f>Table2[[#This Row],[Sale Price]]/Table2[[#This Row],[List Price]]</f>
        <v>0.94881526310390807</v>
      </c>
      <c r="O18">
        <v>25</v>
      </c>
      <c r="P18" s="26">
        <v>42951</v>
      </c>
    </row>
    <row r="19" spans="1:16" x14ac:dyDescent="0.25">
      <c r="A19" t="s">
        <v>51</v>
      </c>
      <c r="B19" s="2">
        <v>2039</v>
      </c>
      <c r="C19" s="2">
        <v>2039</v>
      </c>
      <c r="D19" s="2"/>
      <c r="E19" s="2"/>
      <c r="F19" s="2">
        <f>Table2[[#This Row],[Total Sq Ft]]-Table2[[#This Row],[Above Grade]]-Table2[[#This Row],[Unfinished Basement]]</f>
        <v>0</v>
      </c>
      <c r="G19" s="2">
        <v>0</v>
      </c>
      <c r="H19" s="4">
        <v>1056500</v>
      </c>
      <c r="J19" s="3">
        <f t="shared" si="0"/>
        <v>518.14615007356542</v>
      </c>
      <c r="K19" s="3">
        <f t="shared" si="1"/>
        <v>518.14615007356542</v>
      </c>
      <c r="L19" t="s">
        <v>21</v>
      </c>
      <c r="M19" s="4">
        <v>1089000</v>
      </c>
      <c r="N19" s="27">
        <f>Table2[[#This Row],[Sale Price]]/Table2[[#This Row],[List Price]]</f>
        <v>0.97015610651974293</v>
      </c>
      <c r="O19">
        <v>0</v>
      </c>
      <c r="P19" s="26">
        <v>42838</v>
      </c>
    </row>
    <row r="20" spans="1:16" x14ac:dyDescent="0.25">
      <c r="B20" s="2"/>
      <c r="C20" s="2"/>
      <c r="D20" s="2"/>
      <c r="E20" s="2"/>
      <c r="F20" s="2"/>
      <c r="G20" s="2"/>
      <c r="H20" s="4"/>
      <c r="J20" s="3"/>
      <c r="K20" s="3"/>
      <c r="M20" s="4"/>
      <c r="N20" s="27"/>
      <c r="P20" s="26"/>
    </row>
    <row r="21" spans="1:16" ht="30" x14ac:dyDescent="0.25">
      <c r="I21" s="11" t="s">
        <v>12</v>
      </c>
      <c r="J21" s="3">
        <f>AVERAGE(J13:J19)</f>
        <v>355.48195409858255</v>
      </c>
      <c r="K21" s="3">
        <f>AVERAGE(K13:K19)</f>
        <v>355.48195409858255</v>
      </c>
    </row>
    <row r="22" spans="1:16" ht="27" customHeight="1" x14ac:dyDescent="0.25">
      <c r="I22" s="31" t="s">
        <v>26</v>
      </c>
      <c r="J22" s="3">
        <f>(SUM(Table2[$ / Total Sq Ft])-MAX(Table2[$ / Total Sq Ft]) - MIN(Table2[$ / Total Sq Ft]))/(COUNT(Table2[$ / Total Sq Ft])-2)</f>
        <v>336.90264858044532</v>
      </c>
      <c r="K22" s="3">
        <f>(SUM(Table2[$ / Above Grade])-MAX(Table2[$ / Above Grade])-MIN(Table2[$ / Above Grade]))/(COUNT(Table2[$ / Above Grade])-2)</f>
        <v>336.90264858044532</v>
      </c>
      <c r="M22" s="5"/>
      <c r="N22" s="5"/>
    </row>
    <row r="23" spans="1:16" x14ac:dyDescent="0.25">
      <c r="J23" s="3"/>
      <c r="K23" s="3"/>
    </row>
  </sheetData>
  <pageMargins left="0.7" right="0.7" top="0.75" bottom="0.75" header="0.3" footer="0.3"/>
  <pageSetup scale="8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zoomScale="120" zoomScaleNormal="120" workbookViewId="0">
      <selection activeCell="J19" sqref="J19"/>
    </sheetView>
  </sheetViews>
  <sheetFormatPr defaultRowHeight="15" x14ac:dyDescent="0.25"/>
  <cols>
    <col min="1" max="1" width="18.7109375" bestFit="1" customWidth="1"/>
    <col min="2" max="2" width="11.42578125" customWidth="1"/>
    <col min="3" max="5" width="14.85546875" customWidth="1"/>
    <col min="6" max="6" width="18.42578125" customWidth="1"/>
    <col min="7" max="7" width="20.5703125" customWidth="1"/>
    <col min="8" max="8" width="12.140625" bestFit="1" customWidth="1"/>
    <col min="9" max="9" width="21.5703125" customWidth="1"/>
    <col min="10" max="10" width="14.28515625" customWidth="1"/>
    <col min="11" max="11" width="16.28515625" customWidth="1"/>
    <col min="13" max="13" width="18.7109375" customWidth="1"/>
    <col min="14" max="14" width="13.7109375" bestFit="1" customWidth="1"/>
    <col min="15" max="15" width="11.5703125" bestFit="1" customWidth="1"/>
    <col min="17" max="17" width="11" bestFit="1" customWidth="1"/>
  </cols>
  <sheetData>
    <row r="1" spans="1:17" x14ac:dyDescent="0.25">
      <c r="A1" s="6" t="s">
        <v>0</v>
      </c>
      <c r="B1" s="6" t="s">
        <v>1</v>
      </c>
      <c r="C1" s="6" t="s">
        <v>9</v>
      </c>
      <c r="D1" s="6" t="s">
        <v>28</v>
      </c>
      <c r="E1" s="6" t="s">
        <v>29</v>
      </c>
      <c r="F1" s="6" t="s">
        <v>2</v>
      </c>
      <c r="G1" s="6" t="s">
        <v>3</v>
      </c>
      <c r="H1" s="6" t="s">
        <v>10</v>
      </c>
      <c r="I1" s="14" t="s">
        <v>8</v>
      </c>
      <c r="J1" s="15" t="s">
        <v>1</v>
      </c>
    </row>
    <row r="2" spans="1:17" ht="30" x14ac:dyDescent="0.25">
      <c r="A2" t="s">
        <v>16</v>
      </c>
      <c r="B2" s="2">
        <v>2968</v>
      </c>
      <c r="C2" s="2">
        <v>2968</v>
      </c>
      <c r="D2" s="2"/>
      <c r="E2" s="2"/>
      <c r="F2" s="2">
        <f>B2-C2-G2</f>
        <v>0</v>
      </c>
      <c r="G2" s="2">
        <v>0</v>
      </c>
      <c r="H2" s="29">
        <v>1850000</v>
      </c>
      <c r="I2" s="18" t="s">
        <v>13</v>
      </c>
      <c r="J2" s="20">
        <f>M23*$B$2</f>
        <v>1818046.9040000371</v>
      </c>
      <c r="M2" s="4"/>
      <c r="N2" s="4"/>
    </row>
    <row r="3" spans="1:17" ht="30" x14ac:dyDescent="0.25">
      <c r="B3" s="2"/>
      <c r="C3" s="2"/>
      <c r="D3" s="2"/>
      <c r="E3" s="2"/>
      <c r="F3" s="2"/>
      <c r="G3" s="2"/>
      <c r="I3" s="12" t="s">
        <v>41</v>
      </c>
      <c r="J3" s="8">
        <f>H2/B2</f>
        <v>623.31536388140159</v>
      </c>
      <c r="M3" s="4"/>
      <c r="N3" s="4"/>
    </row>
    <row r="4" spans="1:17" ht="30" x14ac:dyDescent="0.25">
      <c r="I4" s="12" t="s">
        <v>14</v>
      </c>
      <c r="J4" s="9">
        <f>(J3-M23)</f>
        <v>10.76586792451576</v>
      </c>
    </row>
    <row r="5" spans="1:17" ht="30" x14ac:dyDescent="0.25">
      <c r="I5" s="21" t="s">
        <v>15</v>
      </c>
      <c r="J5" s="10">
        <f>(J3-M23)/M23</f>
        <v>1.7575506951806413E-2</v>
      </c>
    </row>
    <row r="6" spans="1:17" x14ac:dyDescent="0.25">
      <c r="I6" s="13"/>
      <c r="J6" s="17"/>
    </row>
    <row r="7" spans="1:17" ht="30" x14ac:dyDescent="0.25">
      <c r="I7" s="18" t="s">
        <v>25</v>
      </c>
      <c r="J7" s="22">
        <f>$B$2*M24</f>
        <v>1820482.0091465847</v>
      </c>
    </row>
    <row r="8" spans="1:17" ht="30" x14ac:dyDescent="0.25">
      <c r="I8" s="12" t="s">
        <v>42</v>
      </c>
      <c r="J8" s="23">
        <f>$H$2/$B$2</f>
        <v>623.31536388140159</v>
      </c>
    </row>
    <row r="9" spans="1:17" ht="30" x14ac:dyDescent="0.25">
      <c r="I9" s="12" t="s">
        <v>14</v>
      </c>
      <c r="J9" s="24">
        <f>J8-M24</f>
        <v>9.9454147080240318</v>
      </c>
    </row>
    <row r="10" spans="1:17" ht="30" x14ac:dyDescent="0.25">
      <c r="I10" s="21" t="s">
        <v>15</v>
      </c>
      <c r="J10" s="10">
        <f>(J8-M24)/M24</f>
        <v>1.6214382073049396E-2</v>
      </c>
    </row>
    <row r="12" spans="1:17" ht="30" x14ac:dyDescent="0.25">
      <c r="A12" t="s">
        <v>4</v>
      </c>
      <c r="B12" t="s">
        <v>1</v>
      </c>
      <c r="C12" t="s">
        <v>9</v>
      </c>
      <c r="D12" t="s">
        <v>28</v>
      </c>
      <c r="E12" t="s">
        <v>29</v>
      </c>
      <c r="F12" t="s">
        <v>2</v>
      </c>
      <c r="G12" t="s">
        <v>3</v>
      </c>
      <c r="H12" t="s">
        <v>5</v>
      </c>
      <c r="I12" t="s">
        <v>11</v>
      </c>
      <c r="J12" t="s">
        <v>6</v>
      </c>
      <c r="K12" t="s">
        <v>7</v>
      </c>
      <c r="L12" t="s">
        <v>19</v>
      </c>
      <c r="M12" s="25" t="s">
        <v>27</v>
      </c>
      <c r="N12" t="s">
        <v>30</v>
      </c>
      <c r="O12" t="s">
        <v>31</v>
      </c>
      <c r="P12" t="s">
        <v>32</v>
      </c>
      <c r="Q12" t="s">
        <v>33</v>
      </c>
    </row>
    <row r="13" spans="1:17" x14ac:dyDescent="0.25">
      <c r="A13" s="1" t="s">
        <v>17</v>
      </c>
      <c r="B13" s="2">
        <v>4782</v>
      </c>
      <c r="C13" s="2">
        <f>Table22[[#This Row],[Upper SqFt]]+Table22[[#This Row],[Main SqFt]]</f>
        <v>3194</v>
      </c>
      <c r="D13" s="2">
        <v>1607</v>
      </c>
      <c r="E13" s="2">
        <v>1587</v>
      </c>
      <c r="F13" s="2">
        <f>Table22[[#This Row],[Total Sq Ft]]-Table22[[#This Row],[Above Grade]]-Table22[[#This Row],[Unfinished Basement]]</f>
        <v>1207</v>
      </c>
      <c r="G13" s="2">
        <v>381</v>
      </c>
      <c r="H13" s="4">
        <v>2295000</v>
      </c>
      <c r="J13" s="3">
        <f t="shared" ref="J13:J22" si="0">H13/B13</f>
        <v>479.92471769134255</v>
      </c>
      <c r="K13" s="3">
        <f t="shared" ref="K13:K22" si="1">H13/C13</f>
        <v>718.53475266123985</v>
      </c>
      <c r="L13" t="s">
        <v>38</v>
      </c>
      <c r="M13" s="3">
        <f>Table22[[#This Row],[Sale Price]]/(Table22[[#This Row],[Above Grade]]+(Table22[[#This Row],[Finished Basement]]/2))</f>
        <v>604.34496379196844</v>
      </c>
      <c r="N13" s="4">
        <v>2295000</v>
      </c>
      <c r="O13" s="28">
        <f>Table22[[#This Row],[Sale Price]]/Table22[[#This Row],[List Price]]</f>
        <v>1</v>
      </c>
    </row>
    <row r="14" spans="1:17" x14ac:dyDescent="0.25">
      <c r="A14" t="s">
        <v>39</v>
      </c>
      <c r="B14" s="2">
        <v>3780</v>
      </c>
      <c r="C14" s="2">
        <f>Table22[[#This Row],[Upper SqFt]]+Table22[[#This Row],[Main SqFt]]</f>
        <v>3238</v>
      </c>
      <c r="D14" s="2">
        <v>1381</v>
      </c>
      <c r="E14" s="2">
        <v>1857</v>
      </c>
      <c r="F14" s="2">
        <f>Table22[[#This Row],[Total Sq Ft]]-Table22[[#This Row],[Above Grade]]-Table22[[#This Row],[Unfinished Basement]]</f>
        <v>542</v>
      </c>
      <c r="G14" s="2">
        <v>0</v>
      </c>
      <c r="H14" s="4">
        <v>2299000</v>
      </c>
      <c r="J14" s="3">
        <f t="shared" si="0"/>
        <v>608.20105820105823</v>
      </c>
      <c r="K14" s="3">
        <f t="shared" si="1"/>
        <v>710.00617665225445</v>
      </c>
      <c r="L14" t="s">
        <v>22</v>
      </c>
      <c r="M14" s="3">
        <f>Table22[[#This Row],[Sale Price]]/(Table22[[#This Row],[Above Grade]]+(Table22[[#This Row],[Finished Basement]]/2))</f>
        <v>655.17241379310349</v>
      </c>
      <c r="N14" s="4"/>
      <c r="O14" s="28" t="e">
        <f>Table22[[#This Row],[Sale Price]]/Table22[[#This Row],[List Price]]</f>
        <v>#DIV/0!</v>
      </c>
    </row>
    <row r="15" spans="1:17" x14ac:dyDescent="0.25">
      <c r="A15" t="s">
        <v>20</v>
      </c>
      <c r="B15" s="2">
        <v>2348</v>
      </c>
      <c r="C15" s="2">
        <f>Table22[[#This Row],[Upper SqFt]]+Table22[[#This Row],[Main SqFt]]</f>
        <v>1174</v>
      </c>
      <c r="D15" s="2">
        <v>0</v>
      </c>
      <c r="E15" s="2">
        <v>1174</v>
      </c>
      <c r="F15" s="2">
        <f>Table22[[#This Row],[Total Sq Ft]]-Table22[[#This Row],[Above Grade]]-Table22[[#This Row],[Unfinished Basement]]</f>
        <v>1174</v>
      </c>
      <c r="G15" s="2">
        <v>0</v>
      </c>
      <c r="H15" s="4">
        <v>1150000</v>
      </c>
      <c r="J15" s="3">
        <f t="shared" si="0"/>
        <v>489.77853492333901</v>
      </c>
      <c r="K15" s="3">
        <f t="shared" si="1"/>
        <v>979.55706984667802</v>
      </c>
      <c r="L15" t="s">
        <v>21</v>
      </c>
      <c r="M15" s="3">
        <f>Table22[[#This Row],[Sale Price]]/(Table22[[#This Row],[Above Grade]]+(Table22[[#This Row],[Finished Basement]]/2))</f>
        <v>653.03804656445197</v>
      </c>
      <c r="N15" s="4"/>
      <c r="O15" s="28" t="e">
        <f>Table22[[#This Row],[Sale Price]]/Table22[[#This Row],[List Price]]</f>
        <v>#DIV/0!</v>
      </c>
    </row>
    <row r="16" spans="1:17" x14ac:dyDescent="0.25">
      <c r="A16" t="s">
        <v>43</v>
      </c>
      <c r="B16" s="2">
        <v>2817</v>
      </c>
      <c r="C16" s="2">
        <f>Table22[[#This Row],[Upper SqFt]]+Table22[[#This Row],[Main SqFt]]</f>
        <v>2760</v>
      </c>
      <c r="D16" s="2">
        <v>1335</v>
      </c>
      <c r="E16" s="2">
        <v>1425</v>
      </c>
      <c r="F16" s="2">
        <f>Table22[[#This Row],[Total Sq Ft]]-Table22[[#This Row],[Above Grade]]-Table22[[#This Row],[Unfinished Basement]]</f>
        <v>0</v>
      </c>
      <c r="G16" s="2">
        <v>57</v>
      </c>
      <c r="H16" s="4">
        <v>1665000</v>
      </c>
      <c r="J16" s="3">
        <f t="shared" si="0"/>
        <v>591.05431309904156</v>
      </c>
      <c r="K16" s="3">
        <f t="shared" si="1"/>
        <v>603.26086956521738</v>
      </c>
      <c r="L16" t="s">
        <v>21</v>
      </c>
      <c r="M16" s="3">
        <f>Table22[[#This Row],[Sale Price]]/(Table22[[#This Row],[Above Grade]]+(Table22[[#This Row],[Finished Basement]]/2))</f>
        <v>603.26086956521738</v>
      </c>
      <c r="N16" s="4"/>
      <c r="O16" s="28" t="e">
        <f>Table22[[#This Row],[Sale Price]]/Table22[[#This Row],[List Price]]</f>
        <v>#DIV/0!</v>
      </c>
    </row>
    <row r="17" spans="1:17" x14ac:dyDescent="0.25">
      <c r="A17" t="s">
        <v>40</v>
      </c>
      <c r="B17" s="2">
        <v>4193</v>
      </c>
      <c r="C17" s="2">
        <f>Table22[[#This Row],[Upper SqFt]]+Table22[[#This Row],[Main SqFt]]</f>
        <v>2841</v>
      </c>
      <c r="D17" s="2">
        <v>1287</v>
      </c>
      <c r="E17" s="2">
        <v>1554</v>
      </c>
      <c r="F17" s="2">
        <f>Table22[[#This Row],[Total Sq Ft]]-Table22[[#This Row],[Above Grade]]-Table22[[#This Row],[Unfinished Basement]]</f>
        <v>1352</v>
      </c>
      <c r="G17" s="2">
        <v>0</v>
      </c>
      <c r="H17" s="4">
        <v>2290000</v>
      </c>
      <c r="J17" s="3">
        <f t="shared" si="0"/>
        <v>546.1483424755545</v>
      </c>
      <c r="K17" s="3">
        <f t="shared" si="1"/>
        <v>806.05420626539956</v>
      </c>
      <c r="L17" t="s">
        <v>22</v>
      </c>
      <c r="M17" s="3">
        <f>Table22[[#This Row],[Sale Price]]/(Table22[[#This Row],[Above Grade]]+(Table22[[#This Row],[Finished Basement]]/2))</f>
        <v>651.12311629229453</v>
      </c>
      <c r="N17" s="4">
        <f>Table2[[#This Row],[Sale Price]]/Table2[[#This Row],[List Price]]</f>
        <v>0.98454904779015451</v>
      </c>
      <c r="O17" s="28">
        <f>Table22[[#This Row],[Sale Price]]/Table22[[#This Row],[List Price]]</f>
        <v>2325937.9562043794</v>
      </c>
    </row>
    <row r="18" spans="1:17" x14ac:dyDescent="0.25">
      <c r="A18" t="s">
        <v>23</v>
      </c>
      <c r="B18" s="2">
        <v>4458</v>
      </c>
      <c r="C18" s="2">
        <f>Table22[[#This Row],[Upper SqFt]]+Table22[[#This Row],[Main SqFt]]</f>
        <v>3342</v>
      </c>
      <c r="D18" s="2">
        <v>1115</v>
      </c>
      <c r="E18" s="2">
        <v>2227</v>
      </c>
      <c r="F18" s="2">
        <f>Table22[[#This Row],[Total Sq Ft]]-Table22[[#This Row],[Above Grade]]-Table22[[#This Row],[Unfinished Basement]]</f>
        <v>1116</v>
      </c>
      <c r="G18" s="2">
        <v>0</v>
      </c>
      <c r="H18" s="4">
        <v>2400000</v>
      </c>
      <c r="J18" s="3">
        <f t="shared" si="0"/>
        <v>538.35800807537009</v>
      </c>
      <c r="K18" s="3">
        <f t="shared" si="1"/>
        <v>718.13285457809695</v>
      </c>
      <c r="L18" t="s">
        <v>18</v>
      </c>
      <c r="M18" s="3">
        <f>Table22[[#This Row],[Sale Price]]/(Table22[[#This Row],[Above Grade]]+(Table22[[#This Row],[Finished Basement]]/2))</f>
        <v>615.38461538461536</v>
      </c>
      <c r="N18" s="4"/>
      <c r="O18" s="28" t="e">
        <f>Table22[[#This Row],[Sale Price]]/Table22[[#This Row],[List Price]]</f>
        <v>#DIV/0!</v>
      </c>
    </row>
    <row r="19" spans="1:17" x14ac:dyDescent="0.25">
      <c r="A19" t="s">
        <v>24</v>
      </c>
      <c r="B19" s="2">
        <v>4837</v>
      </c>
      <c r="C19" s="2">
        <f>Table22[[#This Row],[Upper SqFt]]+Table22[[#This Row],[Main SqFt]]</f>
        <v>3247</v>
      </c>
      <c r="D19" s="2">
        <v>1644</v>
      </c>
      <c r="E19" s="2">
        <v>1603</v>
      </c>
      <c r="F19" s="2">
        <f>Table22[[#This Row],[Total Sq Ft]]-Table22[[#This Row],[Above Grade]]-Table22[[#This Row],[Unfinished Basement]]</f>
        <v>1590</v>
      </c>
      <c r="G19" s="2">
        <v>0</v>
      </c>
      <c r="H19" s="4">
        <v>1985000</v>
      </c>
      <c r="J19" s="3">
        <f t="shared" si="0"/>
        <v>410.37833367789955</v>
      </c>
      <c r="K19" s="3">
        <f t="shared" si="1"/>
        <v>611.33353865106255</v>
      </c>
      <c r="L19" t="s">
        <v>18</v>
      </c>
      <c r="M19" s="3">
        <f>Table22[[#This Row],[Sale Price]]/(Table22[[#This Row],[Above Grade]]+(Table22[[#This Row],[Finished Basement]]/2))</f>
        <v>491.09351806036614</v>
      </c>
      <c r="N19" s="4"/>
      <c r="O19" s="28" t="e">
        <f>Table22[[#This Row],[Sale Price]]/Table22[[#This Row],[List Price]]</f>
        <v>#DIV/0!</v>
      </c>
    </row>
    <row r="20" spans="1:17" x14ac:dyDescent="0.25">
      <c r="A20" t="s">
        <v>34</v>
      </c>
      <c r="B20" s="2">
        <v>5006</v>
      </c>
      <c r="C20" s="2">
        <f>Table22[[#This Row],[Upper SqFt]]+Table22[[#This Row],[Main SqFt]]</f>
        <v>3831</v>
      </c>
      <c r="D20" s="2">
        <v>1965</v>
      </c>
      <c r="E20" s="2">
        <v>1866</v>
      </c>
      <c r="F20" s="2">
        <f>Table22[[#This Row],[Total Sq Ft]]-Table22[[#This Row],[Above Grade]]-Table22[[#This Row],[Unfinished Basement]]</f>
        <v>1175</v>
      </c>
      <c r="G20" s="2">
        <v>0</v>
      </c>
      <c r="H20" s="4">
        <v>2660000</v>
      </c>
      <c r="J20" s="3">
        <f t="shared" si="0"/>
        <v>531.36236516180588</v>
      </c>
      <c r="K20" s="3">
        <f t="shared" si="1"/>
        <v>694.33568258940227</v>
      </c>
      <c r="L20" t="s">
        <v>22</v>
      </c>
      <c r="M20" s="3">
        <f>Table22[[#This Row],[Sale Price]]/(Table22[[#This Row],[Above Grade]]+(Table22[[#This Row],[Finished Basement]]/2))</f>
        <v>602.01425823243187</v>
      </c>
      <c r="N20" s="4">
        <v>2795000</v>
      </c>
      <c r="O20" s="27">
        <f>Table22[[#This Row],[Sale Price]]/Table22[[#This Row],[List Price]]</f>
        <v>0.95169946332737032</v>
      </c>
      <c r="P20">
        <f>_xlfn.DAYS("4/28/17", "7/25/16")</f>
        <v>277</v>
      </c>
      <c r="Q20" s="26">
        <v>42853</v>
      </c>
    </row>
    <row r="21" spans="1:17" x14ac:dyDescent="0.25">
      <c r="A21" t="s">
        <v>35</v>
      </c>
      <c r="B21" s="2">
        <v>4638</v>
      </c>
      <c r="C21" s="2">
        <f>Table22[[#This Row],[Upper SqFt]]+Table22[[#This Row],[Main SqFt]]</f>
        <v>3016</v>
      </c>
      <c r="D21" s="2">
        <v>1344</v>
      </c>
      <c r="E21" s="2">
        <v>1672</v>
      </c>
      <c r="F21" s="2">
        <f>Table22[[#This Row],[Total Sq Ft]]-Table22[[#This Row],[Above Grade]]-Table22[[#This Row],[Unfinished Basement]]</f>
        <v>1344</v>
      </c>
      <c r="G21" s="2">
        <v>278</v>
      </c>
      <c r="H21" s="4">
        <v>2275000</v>
      </c>
      <c r="J21" s="3">
        <f t="shared" si="0"/>
        <v>490.51315222078483</v>
      </c>
      <c r="K21" s="3">
        <f t="shared" si="1"/>
        <v>754.31034482758616</v>
      </c>
      <c r="L21" t="s">
        <v>36</v>
      </c>
      <c r="M21" s="3">
        <f>Table22[[#This Row],[Sale Price]]/(Table22[[#This Row],[Above Grade]]+(Table22[[#This Row],[Finished Basement]]/2))</f>
        <v>616.86550976138824</v>
      </c>
      <c r="N21" s="4">
        <v>2385000</v>
      </c>
      <c r="O21" s="27">
        <f>Table22[[#This Row],[Sale Price]]/Table22[[#This Row],[List Price]]</f>
        <v>0.95387840670859536</v>
      </c>
      <c r="P21">
        <f>_xlfn.DAYS("4/25/17", "3/20/17")</f>
        <v>36</v>
      </c>
      <c r="Q21" s="26">
        <v>42850</v>
      </c>
    </row>
    <row r="22" spans="1:17" x14ac:dyDescent="0.25">
      <c r="A22" t="s">
        <v>37</v>
      </c>
      <c r="B22" s="2">
        <v>4130</v>
      </c>
      <c r="C22" s="2">
        <f>Table22[[#This Row],[Upper SqFt]]+Table22[[#This Row],[Main SqFt]]</f>
        <v>2653</v>
      </c>
      <c r="D22" s="2">
        <v>0</v>
      </c>
      <c r="E22" s="2">
        <v>2653</v>
      </c>
      <c r="F22" s="2">
        <f>Table22[[#This Row],[Total Sq Ft]]-Table22[[#This Row],[Above Grade]]-Table22[[#This Row],[Unfinished Basement]]</f>
        <v>1327</v>
      </c>
      <c r="G22" s="2">
        <v>150</v>
      </c>
      <c r="H22" s="4">
        <v>2100000</v>
      </c>
      <c r="J22" s="3">
        <f t="shared" si="0"/>
        <v>508.47457627118644</v>
      </c>
      <c r="K22" s="3">
        <f t="shared" si="1"/>
        <v>791.55672823218993</v>
      </c>
      <c r="L22" t="s">
        <v>18</v>
      </c>
      <c r="M22" s="3">
        <f>Table22[[#This Row],[Sale Price]]/(Table22[[#This Row],[Above Grade]]+(Table22[[#This Row],[Finished Basement]]/2))</f>
        <v>633.19764812302128</v>
      </c>
      <c r="N22" s="4">
        <v>2290000</v>
      </c>
      <c r="O22" s="27">
        <f>Table22[[#This Row],[Sale Price]]/Table22[[#This Row],[List Price]]</f>
        <v>0.91703056768558955</v>
      </c>
      <c r="P22">
        <f>_xlfn.DAYS("7/13/17", "5/3/17")</f>
        <v>71</v>
      </c>
      <c r="Q22" s="26">
        <v>42929</v>
      </c>
    </row>
    <row r="23" spans="1:17" ht="30" x14ac:dyDescent="0.25">
      <c r="H23" s="30"/>
      <c r="I23" s="11" t="s">
        <v>12</v>
      </c>
      <c r="J23" s="3">
        <f>AVERAGE(J13:J22)</f>
        <v>519.41934017973813</v>
      </c>
      <c r="K23" s="3">
        <f>AVERAGE(K13:K22)</f>
        <v>738.70822238691267</v>
      </c>
      <c r="M23" s="3">
        <f>AVERAGE(M13:M22)</f>
        <v>612.54949595688583</v>
      </c>
    </row>
    <row r="24" spans="1:17" ht="27" customHeight="1" x14ac:dyDescent="0.25">
      <c r="H24" s="30"/>
      <c r="I24" t="s">
        <v>26</v>
      </c>
      <c r="J24" s="3">
        <f>(SUM(Table22[$ / Total Sq Ft])-MAX(Table22[$ / Total Sq Ft]) - MIN(Table22[$ / Total Sq Ft]))/(COUNT(Table22[$ / Total Sq Ft])-2)</f>
        <v>521.951751239803</v>
      </c>
      <c r="K24" s="3">
        <f>(SUM(Table22[$ / Above Grade])-MAX(Table22[$ / Above Grade])-MIN(Table22[$ / Above Grade]))/(COUNT(Table22[$ / Above Grade])-2)</f>
        <v>725.53303555715399</v>
      </c>
      <c r="M24" s="3">
        <f>AVERAGE(M14:M23)</f>
        <v>613.36994917337756</v>
      </c>
      <c r="N24" s="5"/>
    </row>
    <row r="25" spans="1:17" x14ac:dyDescent="0.25">
      <c r="J25" s="3"/>
      <c r="K25" s="3"/>
    </row>
  </sheetData>
  <pageMargins left="0.7" right="0.7" top="0.75" bottom="0.75" header="0.3" footer="0.3"/>
  <pageSetup scale="8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$ per SqFt Same</vt:lpstr>
      <vt:lpstr>Basement Valued at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Watson</dc:creator>
  <cp:lastModifiedBy>Brandon Watson</cp:lastModifiedBy>
  <cp:lastPrinted>2015-11-23T02:22:06Z</cp:lastPrinted>
  <dcterms:created xsi:type="dcterms:W3CDTF">2015-11-23T01:41:41Z</dcterms:created>
  <dcterms:modified xsi:type="dcterms:W3CDTF">2023-01-17T21:08:44Z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ce9de8d0-ce7f-4fa5-ac7f-97d09d0dc260</vt:lpwstr>
  </property>
</Properties>
</file>