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p/Downloads/"/>
    </mc:Choice>
  </mc:AlternateContent>
  <xr:revisionPtr revIDLastSave="0" documentId="8_{96B3AAB3-59F2-9947-B504-2B60D283CC2C}" xr6:coauthVersionLast="47" xr6:coauthVersionMax="47" xr10:uidLastSave="{00000000-0000-0000-0000-000000000000}"/>
  <bookViews>
    <workbookView xWindow="0" yWindow="760" windowWidth="29040" windowHeight="15720" xr2:uid="{00000000-000D-0000-FFFF-FFFF00000000}"/>
  </bookViews>
  <sheets>
    <sheet name="DCF" sheetId="1" r:id="rId1"/>
    <sheet name="P&amp;L" sheetId="2" r:id="rId2"/>
  </sheets>
  <calcPr calcId="191028" calcMode="autoNoTable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G15" i="2" s="1"/>
  <c r="G211" i="1"/>
  <c r="G203" i="1"/>
  <c r="G195" i="1"/>
  <c r="G187" i="1"/>
  <c r="G179" i="1"/>
  <c r="C21" i="1"/>
  <c r="C18" i="1"/>
  <c r="C17" i="1"/>
  <c r="F216" i="2"/>
  <c r="E232" i="2" l="1"/>
  <c r="E231" i="2"/>
  <c r="E230" i="2"/>
  <c r="F221" i="2"/>
  <c r="E221" i="2"/>
  <c r="E219" i="2"/>
  <c r="E233" i="2" s="1"/>
  <c r="G217" i="2"/>
  <c r="H217" i="2" s="1"/>
  <c r="I217" i="2" s="1"/>
  <c r="J217" i="2" s="1"/>
  <c r="K217" i="2" s="1"/>
  <c r="F217" i="2"/>
  <c r="D231" i="2"/>
  <c r="D230" i="2"/>
  <c r="D218" i="2"/>
  <c r="D219" i="2" s="1"/>
  <c r="D221" i="2" s="1"/>
  <c r="C231" i="2"/>
  <c r="C230" i="2"/>
  <c r="C219" i="2"/>
  <c r="C221" i="2" s="1"/>
  <c r="C218" i="2"/>
  <c r="G171" i="2"/>
  <c r="H171" i="2" s="1"/>
  <c r="I171" i="2" s="1"/>
  <c r="J171" i="2" s="1"/>
  <c r="K171" i="2" s="1"/>
  <c r="F171" i="2"/>
  <c r="G127" i="2"/>
  <c r="H127" i="2"/>
  <c r="I127" i="2"/>
  <c r="J127" i="2" s="1"/>
  <c r="K127" i="2" s="1"/>
  <c r="F127" i="2"/>
  <c r="G131" i="2"/>
  <c r="H131" i="2" s="1"/>
  <c r="I131" i="2" s="1"/>
  <c r="J131" i="2" s="1"/>
  <c r="K131" i="2" s="1"/>
  <c r="F131" i="2"/>
  <c r="G135" i="2"/>
  <c r="H135" i="2" s="1"/>
  <c r="I135" i="2" s="1"/>
  <c r="J135" i="2" s="1"/>
  <c r="K135" i="2" s="1"/>
  <c r="F135" i="2"/>
  <c r="G134" i="2"/>
  <c r="H134" i="2"/>
  <c r="I134" i="2"/>
  <c r="J134" i="2"/>
  <c r="K134" i="2" s="1"/>
  <c r="F134" i="2"/>
  <c r="E134" i="2"/>
  <c r="G117" i="2"/>
  <c r="H117" i="2" s="1"/>
  <c r="I117" i="2" s="1"/>
  <c r="J117" i="2" s="1"/>
  <c r="K117" i="2" s="1"/>
  <c r="F117" i="2"/>
  <c r="G116" i="2"/>
  <c r="H116" i="2" s="1"/>
  <c r="I116" i="2" s="1"/>
  <c r="J116" i="2" s="1"/>
  <c r="K116" i="2" s="1"/>
  <c r="F116" i="2"/>
  <c r="G114" i="2"/>
  <c r="H114" i="2" s="1"/>
  <c r="I114" i="2" s="1"/>
  <c r="J114" i="2" s="1"/>
  <c r="K114" i="2" s="1"/>
  <c r="F114" i="2"/>
  <c r="G113" i="2"/>
  <c r="H113" i="2" s="1"/>
  <c r="I113" i="2" s="1"/>
  <c r="J113" i="2" s="1"/>
  <c r="K113" i="2" s="1"/>
  <c r="F113" i="2"/>
  <c r="G112" i="2"/>
  <c r="H112" i="2" s="1"/>
  <c r="I112" i="2" s="1"/>
  <c r="J112" i="2" s="1"/>
  <c r="K112" i="2" s="1"/>
  <c r="F112" i="2"/>
  <c r="E94" i="2"/>
  <c r="E92" i="2"/>
  <c r="E91" i="2"/>
  <c r="G81" i="2"/>
  <c r="H81" i="2" s="1"/>
  <c r="I81" i="2" s="1"/>
  <c r="J81" i="2" s="1"/>
  <c r="K81" i="2" s="1"/>
  <c r="F81" i="2"/>
  <c r="G79" i="2"/>
  <c r="G80" i="2"/>
  <c r="H80" i="2" s="1"/>
  <c r="I80" i="2" s="1"/>
  <c r="J80" i="2" s="1"/>
  <c r="K80" i="2" s="1"/>
  <c r="F80" i="2"/>
  <c r="E82" i="2"/>
  <c r="E77" i="2"/>
  <c r="G70" i="2"/>
  <c r="H70" i="2" s="1"/>
  <c r="I70" i="2" s="1"/>
  <c r="J70" i="2" s="1"/>
  <c r="K70" i="2" s="1"/>
  <c r="F70" i="2"/>
  <c r="G69" i="2"/>
  <c r="H69" i="2" s="1"/>
  <c r="I69" i="2" s="1"/>
  <c r="J69" i="2" s="1"/>
  <c r="K69" i="2" s="1"/>
  <c r="F69" i="2"/>
  <c r="E71" i="2"/>
  <c r="F52" i="2"/>
  <c r="F51" i="2"/>
  <c r="F50" i="2"/>
  <c r="F49" i="2"/>
  <c r="G59" i="2"/>
  <c r="H59" i="2" s="1"/>
  <c r="I59" i="2" s="1"/>
  <c r="J59" i="2" s="1"/>
  <c r="K59" i="2" s="1"/>
  <c r="F59" i="2"/>
  <c r="E63" i="2"/>
  <c r="D82" i="2"/>
  <c r="D77" i="2"/>
  <c r="D71" i="2"/>
  <c r="D63" i="2"/>
  <c r="C82" i="2"/>
  <c r="C77" i="2"/>
  <c r="C71" i="2"/>
  <c r="C63" i="2"/>
  <c r="E38" i="2"/>
  <c r="E39" i="2"/>
  <c r="E24" i="2"/>
  <c r="E23" i="2"/>
  <c r="E27" i="2" s="1"/>
  <c r="E31" i="2" s="1"/>
  <c r="E36" i="2" s="1"/>
  <c r="E19" i="2"/>
  <c r="E18" i="2"/>
  <c r="E16" i="2"/>
  <c r="D23" i="2"/>
  <c r="D24" i="2" s="1"/>
  <c r="D19" i="2"/>
  <c r="D18" i="2"/>
  <c r="D27" i="2" s="1"/>
  <c r="D16" i="2"/>
  <c r="C23" i="2"/>
  <c r="C24" i="2" s="1"/>
  <c r="C19" i="2"/>
  <c r="C18" i="2"/>
  <c r="C27" i="2" s="1"/>
  <c r="C66" i="1"/>
  <c r="C233" i="2" l="1"/>
  <c r="D233" i="2"/>
  <c r="D232" i="2"/>
  <c r="C232" i="2"/>
  <c r="D91" i="2"/>
  <c r="D92" i="2" s="1"/>
  <c r="D94" i="2" s="1"/>
  <c r="C91" i="2"/>
  <c r="C92" i="2" s="1"/>
  <c r="C94" i="2" s="1"/>
  <c r="E28" i="2"/>
  <c r="D28" i="2"/>
  <c r="D31" i="2"/>
  <c r="D36" i="2" s="1"/>
  <c r="C28" i="2"/>
  <c r="C31" i="2"/>
  <c r="C36" i="2" s="1"/>
  <c r="C160" i="1"/>
  <c r="C157" i="1"/>
  <c r="F155" i="1"/>
  <c r="F154" i="1"/>
  <c r="F153" i="1"/>
  <c r="F152" i="1"/>
  <c r="B29" i="1"/>
  <c r="D39" i="2" l="1"/>
  <c r="D38" i="2"/>
  <c r="C39" i="2"/>
  <c r="C38" i="2"/>
  <c r="C33" i="1"/>
  <c r="F76" i="2"/>
  <c r="G76" i="2" s="1"/>
  <c r="H76" i="2" s="1"/>
  <c r="I76" i="2" s="1"/>
  <c r="J76" i="2" s="1"/>
  <c r="K76" i="2" s="1"/>
  <c r="C36" i="1"/>
  <c r="D92" i="1"/>
  <c r="C79" i="1"/>
  <c r="C73" i="1"/>
  <c r="C74" i="1"/>
  <c r="C69" i="1"/>
  <c r="C10" i="1"/>
  <c r="B268" i="2"/>
  <c r="B269" i="2" s="1"/>
  <c r="B270" i="2" s="1"/>
  <c r="B267" i="2"/>
  <c r="G245" i="2"/>
  <c r="E245" i="2"/>
  <c r="D245" i="2"/>
  <c r="J244" i="2"/>
  <c r="K244" i="2" s="1"/>
  <c r="H244" i="2"/>
  <c r="I244" i="2" s="1"/>
  <c r="G244" i="2"/>
  <c r="E244" i="2"/>
  <c r="D244" i="2"/>
  <c r="G243" i="2"/>
  <c r="H243" i="2" s="1"/>
  <c r="I243" i="2" s="1"/>
  <c r="J243" i="2" s="1"/>
  <c r="K243" i="2" s="1"/>
  <c r="E243" i="2"/>
  <c r="D243" i="2"/>
  <c r="E240" i="2"/>
  <c r="D240" i="2"/>
  <c r="C240" i="2"/>
  <c r="F239" i="2"/>
  <c r="G238" i="2"/>
  <c r="H238" i="2" s="1"/>
  <c r="I238" i="2" s="1"/>
  <c r="J238" i="2" s="1"/>
  <c r="K238" i="2" s="1"/>
  <c r="F238" i="2"/>
  <c r="G237" i="2"/>
  <c r="F237" i="2"/>
  <c r="F240" i="2" s="1"/>
  <c r="F236" i="2"/>
  <c r="G236" i="2" s="1"/>
  <c r="H236" i="2" s="1"/>
  <c r="I236" i="2" s="1"/>
  <c r="J236" i="2" s="1"/>
  <c r="K236" i="2" s="1"/>
  <c r="G225" i="2"/>
  <c r="H225" i="2" s="1"/>
  <c r="G221" i="2"/>
  <c r="H221" i="2" s="1"/>
  <c r="I221" i="2" s="1"/>
  <c r="J221" i="2" s="1"/>
  <c r="K221" i="2" s="1"/>
  <c r="H216" i="2"/>
  <c r="I216" i="2" s="1"/>
  <c r="J216" i="2" s="1"/>
  <c r="K216" i="2" s="1"/>
  <c r="G216" i="2"/>
  <c r="J208" i="2"/>
  <c r="K208" i="2" s="1"/>
  <c r="H208" i="2"/>
  <c r="I208" i="2" s="1"/>
  <c r="G208" i="2"/>
  <c r="I203" i="2"/>
  <c r="G203" i="2"/>
  <c r="H203" i="2" s="1"/>
  <c r="F196" i="2"/>
  <c r="K191" i="2"/>
  <c r="J191" i="2"/>
  <c r="I191" i="2"/>
  <c r="H191" i="2"/>
  <c r="G191" i="2"/>
  <c r="F191" i="2"/>
  <c r="F189" i="2"/>
  <c r="F184" i="2"/>
  <c r="F181" i="2"/>
  <c r="F179" i="2"/>
  <c r="G179" i="2" s="1"/>
  <c r="H179" i="2" s="1"/>
  <c r="I179" i="2" s="1"/>
  <c r="J179" i="2" s="1"/>
  <c r="K179" i="2" s="1"/>
  <c r="G165" i="2"/>
  <c r="D161" i="2"/>
  <c r="C161" i="2" s="1"/>
  <c r="F156" i="2"/>
  <c r="G151" i="2"/>
  <c r="F151" i="2"/>
  <c r="K150" i="2"/>
  <c r="J150" i="2"/>
  <c r="I150" i="2"/>
  <c r="H150" i="2"/>
  <c r="G150" i="2"/>
  <c r="F150" i="2"/>
  <c r="K149" i="2"/>
  <c r="J149" i="2"/>
  <c r="I149" i="2"/>
  <c r="H149" i="2"/>
  <c r="G149" i="2"/>
  <c r="F149" i="2"/>
  <c r="F138" i="2"/>
  <c r="G138" i="2" s="1"/>
  <c r="H138" i="2" s="1"/>
  <c r="I138" i="2" s="1"/>
  <c r="J138" i="2" s="1"/>
  <c r="K138" i="2" s="1"/>
  <c r="D138" i="2"/>
  <c r="C138" i="2" s="1"/>
  <c r="E131" i="2"/>
  <c r="E129" i="2"/>
  <c r="F126" i="2" s="1"/>
  <c r="F129" i="2" s="1"/>
  <c r="E127" i="2"/>
  <c r="E126" i="2"/>
  <c r="E124" i="2"/>
  <c r="F121" i="2" s="1"/>
  <c r="F263" i="2" s="1" a="1"/>
  <c r="J263" i="2" s="1"/>
  <c r="E122" i="2"/>
  <c r="E123" i="2" s="1"/>
  <c r="E121" i="2"/>
  <c r="D120" i="2"/>
  <c r="C120" i="2" s="1"/>
  <c r="E105" i="2"/>
  <c r="E117" i="2" s="1"/>
  <c r="D105" i="2"/>
  <c r="D117" i="2" s="1"/>
  <c r="C105" i="2"/>
  <c r="C117" i="2" s="1"/>
  <c r="E104" i="2"/>
  <c r="D104" i="2"/>
  <c r="D116" i="2" s="1"/>
  <c r="C104" i="2"/>
  <c r="C116" i="2" s="1"/>
  <c r="E101" i="2"/>
  <c r="E114" i="2" s="1"/>
  <c r="D101" i="2"/>
  <c r="D114" i="2" s="1"/>
  <c r="C101" i="2"/>
  <c r="E100" i="2"/>
  <c r="E113" i="2" s="1"/>
  <c r="D100" i="2"/>
  <c r="D113" i="2" s="1"/>
  <c r="C100" i="2"/>
  <c r="C113" i="2" s="1"/>
  <c r="E99" i="2"/>
  <c r="D99" i="2"/>
  <c r="C99" i="2"/>
  <c r="C112" i="2" s="1"/>
  <c r="K67" i="2"/>
  <c r="J67" i="2"/>
  <c r="I67" i="2"/>
  <c r="H67" i="2"/>
  <c r="G67" i="2"/>
  <c r="F67" i="2"/>
  <c r="G52" i="2"/>
  <c r="H52" i="2" s="1"/>
  <c r="I52" i="2" s="1"/>
  <c r="J52" i="2" s="1"/>
  <c r="K52" i="2" s="1"/>
  <c r="G51" i="2"/>
  <c r="H51" i="2" s="1"/>
  <c r="I51" i="2" s="1"/>
  <c r="J51" i="2" s="1"/>
  <c r="K51" i="2" s="1"/>
  <c r="E51" i="2"/>
  <c r="G50" i="2"/>
  <c r="H50" i="2" s="1"/>
  <c r="I50" i="2" s="1"/>
  <c r="J50" i="2" s="1"/>
  <c r="K50" i="2" s="1"/>
  <c r="E50" i="2"/>
  <c r="G49" i="2"/>
  <c r="H49" i="2" s="1"/>
  <c r="I49" i="2" s="1"/>
  <c r="J49" i="2" s="1"/>
  <c r="K49" i="2" s="1"/>
  <c r="E49" i="2"/>
  <c r="G48" i="2"/>
  <c r="H48" i="2" s="1"/>
  <c r="I48" i="2" s="1"/>
  <c r="J48" i="2" s="1"/>
  <c r="K48" i="2" s="1"/>
  <c r="G46" i="2"/>
  <c r="H46" i="2" s="1"/>
  <c r="I46" i="2" s="1"/>
  <c r="J46" i="2" s="1"/>
  <c r="K46" i="2" s="1"/>
  <c r="E45" i="2"/>
  <c r="D45" i="2"/>
  <c r="K30" i="2"/>
  <c r="K141" i="2" s="1"/>
  <c r="J30" i="2"/>
  <c r="J141" i="2" s="1"/>
  <c r="I30" i="2"/>
  <c r="I141" i="2" s="1"/>
  <c r="H30" i="2"/>
  <c r="H141" i="2" s="1"/>
  <c r="G30" i="2"/>
  <c r="G141" i="2" s="1"/>
  <c r="F30" i="2"/>
  <c r="F141" i="2" s="1"/>
  <c r="C50" i="2"/>
  <c r="D49" i="2"/>
  <c r="C49" i="2"/>
  <c r="F47" i="2"/>
  <c r="F14" i="2"/>
  <c r="G14" i="2" s="1"/>
  <c r="H14" i="2" s="1"/>
  <c r="I14" i="2" s="1"/>
  <c r="J14" i="2" s="1"/>
  <c r="K14" i="2" s="1"/>
  <c r="B2" i="2"/>
  <c r="F68" i="2" l="1"/>
  <c r="G126" i="2"/>
  <c r="G129" i="2" s="1"/>
  <c r="G68" i="2" s="1"/>
  <c r="E102" i="2"/>
  <c r="E106" i="2"/>
  <c r="E112" i="2"/>
  <c r="C106" i="2"/>
  <c r="E128" i="2"/>
  <c r="D66" i="1"/>
  <c r="E135" i="2"/>
  <c r="C86" i="1"/>
  <c r="D14" i="2"/>
  <c r="C14" i="2" s="1"/>
  <c r="F120" i="2"/>
  <c r="G120" i="2" s="1"/>
  <c r="H120" i="2" s="1"/>
  <c r="I120" i="2" s="1"/>
  <c r="J120" i="2" s="1"/>
  <c r="K120" i="2" s="1"/>
  <c r="D179" i="2"/>
  <c r="C179" i="2" s="1"/>
  <c r="F101" i="2"/>
  <c r="F62" i="2" s="1"/>
  <c r="F23" i="2"/>
  <c r="F123" i="2"/>
  <c r="D86" i="1" s="1"/>
  <c r="F99" i="2"/>
  <c r="F17" i="2"/>
  <c r="D69" i="1" s="1"/>
  <c r="D50" i="2"/>
  <c r="D112" i="2"/>
  <c r="D102" i="2"/>
  <c r="G240" i="2"/>
  <c r="G47" i="2"/>
  <c r="H47" i="2" s="1"/>
  <c r="I47" i="2" s="1"/>
  <c r="J47" i="2" s="1"/>
  <c r="K47" i="2" s="1"/>
  <c r="D56" i="2"/>
  <c r="C56" i="2" s="1"/>
  <c r="F56" i="2"/>
  <c r="G56" i="2" s="1"/>
  <c r="H56" i="2" s="1"/>
  <c r="I56" i="2" s="1"/>
  <c r="J56" i="2" s="1"/>
  <c r="K56" i="2" s="1"/>
  <c r="D97" i="2"/>
  <c r="C97" i="2" s="1"/>
  <c r="F97" i="2"/>
  <c r="G97" i="2" s="1"/>
  <c r="H97" i="2" s="1"/>
  <c r="I97" i="2" s="1"/>
  <c r="J97" i="2" s="1"/>
  <c r="K97" i="2" s="1"/>
  <c r="I225" i="2"/>
  <c r="D51" i="2"/>
  <c r="C114" i="2"/>
  <c r="C102" i="2"/>
  <c r="C108" i="2" s="1"/>
  <c r="D261" i="2"/>
  <c r="C261" i="2" s="1"/>
  <c r="F261" i="2"/>
  <c r="G261" i="2" s="1"/>
  <c r="H261" i="2" s="1"/>
  <c r="I261" i="2" s="1"/>
  <c r="J261" i="2" s="1"/>
  <c r="K261" i="2" s="1"/>
  <c r="J203" i="2"/>
  <c r="D214" i="2"/>
  <c r="C214" i="2" s="1"/>
  <c r="F214" i="2"/>
  <c r="G214" i="2" s="1"/>
  <c r="H214" i="2" s="1"/>
  <c r="I214" i="2" s="1"/>
  <c r="J214" i="2" s="1"/>
  <c r="K214" i="2" s="1"/>
  <c r="E116" i="2"/>
  <c r="F204" i="2"/>
  <c r="D106" i="2"/>
  <c r="F161" i="2"/>
  <c r="G161" i="2" s="1"/>
  <c r="H161" i="2" s="1"/>
  <c r="I161" i="2" s="1"/>
  <c r="J161" i="2" s="1"/>
  <c r="K161" i="2" s="1"/>
  <c r="I263" i="2"/>
  <c r="H263" i="2"/>
  <c r="K263" i="2"/>
  <c r="G263" i="2"/>
  <c r="G181" i="2"/>
  <c r="H165" i="2"/>
  <c r="F215" i="2"/>
  <c r="G239" i="2"/>
  <c r="H245" i="2"/>
  <c r="I245" i="2" s="1"/>
  <c r="J245" i="2" s="1"/>
  <c r="K245" i="2" s="1"/>
  <c r="F263" i="2"/>
  <c r="D236" i="2"/>
  <c r="C236" i="2" s="1"/>
  <c r="F192" i="2"/>
  <c r="F79" i="2" s="1"/>
  <c r="G189" i="2" s="1"/>
  <c r="H237" i="2"/>
  <c r="H126" i="2" l="1"/>
  <c r="H129" i="2" s="1"/>
  <c r="E108" i="2"/>
  <c r="H181" i="2"/>
  <c r="I165" i="2"/>
  <c r="H151" i="2"/>
  <c r="J225" i="2"/>
  <c r="D52" i="2"/>
  <c r="F163" i="2"/>
  <c r="F105" i="2"/>
  <c r="F75" i="2" s="1"/>
  <c r="F100" i="2"/>
  <c r="F61" i="2" s="1"/>
  <c r="F104" i="2"/>
  <c r="F18" i="2"/>
  <c r="F27" i="2" s="1"/>
  <c r="H240" i="2"/>
  <c r="I237" i="2"/>
  <c r="K203" i="2"/>
  <c r="C51" i="2"/>
  <c r="F60" i="2"/>
  <c r="F22" i="2"/>
  <c r="D74" i="1" s="1"/>
  <c r="F21" i="2"/>
  <c r="D73" i="1" s="1"/>
  <c r="G192" i="2"/>
  <c r="H189" i="2" s="1"/>
  <c r="G204" i="2"/>
  <c r="H239" i="2"/>
  <c r="I239" i="2" s="1"/>
  <c r="J239" i="2" s="1"/>
  <c r="K239" i="2" s="1"/>
  <c r="E52" i="2"/>
  <c r="I126" i="2"/>
  <c r="I129" i="2" s="1"/>
  <c r="H68" i="2"/>
  <c r="D108" i="2"/>
  <c r="F266" i="2" a="1"/>
  <c r="F145" i="2"/>
  <c r="F146" i="2" s="1"/>
  <c r="E66" i="1" l="1"/>
  <c r="F102" i="2"/>
  <c r="J266" i="2"/>
  <c r="F266" i="2"/>
  <c r="F272" i="2" s="1"/>
  <c r="F274" i="2" s="1"/>
  <c r="F122" i="2" s="1"/>
  <c r="I266" i="2"/>
  <c r="H266" i="2"/>
  <c r="K266" i="2"/>
  <c r="G266" i="2"/>
  <c r="K225" i="2"/>
  <c r="D109" i="2"/>
  <c r="E109" i="2"/>
  <c r="C87" i="1" s="1"/>
  <c r="H192" i="2"/>
  <c r="E171" i="2"/>
  <c r="C52" i="2"/>
  <c r="F106" i="2"/>
  <c r="F74" i="2"/>
  <c r="J126" i="2"/>
  <c r="J129" i="2" s="1"/>
  <c r="I68" i="2"/>
  <c r="I240" i="2"/>
  <c r="J237" i="2"/>
  <c r="D171" i="2"/>
  <c r="G123" i="2"/>
  <c r="E86" i="1" s="1"/>
  <c r="G101" i="2"/>
  <c r="G62" i="2" s="1"/>
  <c r="G99" i="2"/>
  <c r="G17" i="2"/>
  <c r="E69" i="1" s="1"/>
  <c r="G23" i="2"/>
  <c r="H15" i="2"/>
  <c r="I181" i="2"/>
  <c r="I151" i="2"/>
  <c r="J165" i="2"/>
  <c r="F108" i="2" l="1"/>
  <c r="F109" i="2" s="1"/>
  <c r="D87" i="1" s="1"/>
  <c r="I189" i="2"/>
  <c r="I192" i="2" s="1"/>
  <c r="H79" i="2"/>
  <c r="H204" i="2"/>
  <c r="F66" i="1"/>
  <c r="G21" i="2"/>
  <c r="E73" i="1" s="1"/>
  <c r="G22" i="2"/>
  <c r="E74" i="1" s="1"/>
  <c r="G267" i="2" a="1"/>
  <c r="G145" i="2"/>
  <c r="G146" i="2" s="1"/>
  <c r="F77" i="2"/>
  <c r="F82" i="2" s="1"/>
  <c r="C171" i="2"/>
  <c r="F124" i="2"/>
  <c r="F29" i="2"/>
  <c r="D79" i="1" s="1"/>
  <c r="G105" i="2"/>
  <c r="G75" i="2" s="1"/>
  <c r="G100" i="2"/>
  <c r="G61" i="2" s="1"/>
  <c r="G104" i="2"/>
  <c r="E41" i="2"/>
  <c r="E42" i="2"/>
  <c r="J181" i="2"/>
  <c r="K165" i="2"/>
  <c r="J151" i="2"/>
  <c r="G18" i="2"/>
  <c r="G27" i="2" s="1"/>
  <c r="G60" i="2"/>
  <c r="D42" i="2"/>
  <c r="D41" i="2"/>
  <c r="K126" i="2"/>
  <c r="K129" i="2" s="1"/>
  <c r="K68" i="2" s="1"/>
  <c r="J68" i="2"/>
  <c r="H123" i="2"/>
  <c r="F86" i="1" s="1"/>
  <c r="H99" i="2"/>
  <c r="H17" i="2"/>
  <c r="I15" i="2"/>
  <c r="H101" i="2"/>
  <c r="H62" i="2" s="1"/>
  <c r="H23" i="2"/>
  <c r="J240" i="2"/>
  <c r="K237" i="2"/>
  <c r="K240" i="2" s="1"/>
  <c r="F142" i="2" l="1"/>
  <c r="I79" i="2"/>
  <c r="J189" i="2" s="1"/>
  <c r="J192" i="2" s="1"/>
  <c r="I204" i="2"/>
  <c r="G66" i="1"/>
  <c r="H18" i="2"/>
  <c r="H27" i="2" s="1"/>
  <c r="F69" i="1"/>
  <c r="G102" i="2"/>
  <c r="G74" i="2"/>
  <c r="G106" i="2"/>
  <c r="G121" i="2"/>
  <c r="F65" i="2"/>
  <c r="H21" i="2"/>
  <c r="F73" i="1" s="1"/>
  <c r="H22" i="2"/>
  <c r="F74" i="1" s="1"/>
  <c r="H104" i="2"/>
  <c r="H100" i="2"/>
  <c r="H61" i="2" s="1"/>
  <c r="H105" i="2"/>
  <c r="H75" i="2" s="1"/>
  <c r="K181" i="2"/>
  <c r="K151" i="2"/>
  <c r="H60" i="2"/>
  <c r="C41" i="2"/>
  <c r="C42" i="2"/>
  <c r="I101" i="2"/>
  <c r="I62" i="2" s="1"/>
  <c r="I123" i="2"/>
  <c r="G86" i="1" s="1"/>
  <c r="I99" i="2"/>
  <c r="I23" i="2"/>
  <c r="J15" i="2"/>
  <c r="I17" i="2"/>
  <c r="G69" i="1" s="1"/>
  <c r="H268" i="2" a="1"/>
  <c r="H145" i="2"/>
  <c r="H146" i="2" s="1"/>
  <c r="F140" i="2"/>
  <c r="F31" i="2"/>
  <c r="K267" i="2"/>
  <c r="G267" i="2"/>
  <c r="G272" i="2" s="1"/>
  <c r="G274" i="2" s="1"/>
  <c r="G122" i="2" s="1"/>
  <c r="G29" i="2" s="1"/>
  <c r="J267" i="2"/>
  <c r="I267" i="2"/>
  <c r="H267" i="2"/>
  <c r="J79" i="2" l="1"/>
  <c r="K189" i="2" s="1"/>
  <c r="J204" i="2"/>
  <c r="H66" i="1"/>
  <c r="G140" i="2"/>
  <c r="E79" i="1"/>
  <c r="G108" i="2"/>
  <c r="G109" i="2" s="1"/>
  <c r="H102" i="2"/>
  <c r="G124" i="2"/>
  <c r="G65" i="2" s="1"/>
  <c r="I268" i="2"/>
  <c r="H268" i="2"/>
  <c r="H272" i="2" s="1"/>
  <c r="H274" i="2" s="1"/>
  <c r="H122" i="2" s="1"/>
  <c r="H29" i="2" s="1"/>
  <c r="F79" i="1" s="1"/>
  <c r="K268" i="2"/>
  <c r="J268" i="2"/>
  <c r="H106" i="2"/>
  <c r="H74" i="2"/>
  <c r="I104" i="2"/>
  <c r="I100" i="2"/>
  <c r="I61" i="2" s="1"/>
  <c r="I105" i="2"/>
  <c r="I75" i="2" s="1"/>
  <c r="J101" i="2"/>
  <c r="J62" i="2" s="1"/>
  <c r="J23" i="2"/>
  <c r="K15" i="2"/>
  <c r="J99" i="2"/>
  <c r="J17" i="2"/>
  <c r="J123" i="2"/>
  <c r="H86" i="1" s="1"/>
  <c r="I269" i="2" a="1"/>
  <c r="I145" i="2"/>
  <c r="I146" i="2" s="1"/>
  <c r="G77" i="2"/>
  <c r="G82" i="2" s="1"/>
  <c r="I22" i="2"/>
  <c r="G74" i="1" s="1"/>
  <c r="I21" i="2"/>
  <c r="G73" i="1" s="1"/>
  <c r="I60" i="2"/>
  <c r="G31" i="2"/>
  <c r="I18" i="2"/>
  <c r="I27" i="2" s="1"/>
  <c r="K204" i="2" l="1"/>
  <c r="K192" i="2"/>
  <c r="K79" i="2" s="1"/>
  <c r="J18" i="2"/>
  <c r="H69" i="1"/>
  <c r="G142" i="2"/>
  <c r="E87" i="1"/>
  <c r="J27" i="2"/>
  <c r="I102" i="2"/>
  <c r="H121" i="2"/>
  <c r="H124" i="2" s="1"/>
  <c r="H108" i="2"/>
  <c r="H109" i="2" s="1"/>
  <c r="K269" i="2"/>
  <c r="J269" i="2"/>
  <c r="I269" i="2"/>
  <c r="I272" i="2" s="1"/>
  <c r="I274" i="2" s="1"/>
  <c r="I122" i="2" s="1"/>
  <c r="I29" i="2" s="1"/>
  <c r="J105" i="2"/>
  <c r="J75" i="2" s="1"/>
  <c r="J100" i="2"/>
  <c r="J61" i="2" s="1"/>
  <c r="J104" i="2"/>
  <c r="J22" i="2"/>
  <c r="H74" i="1" s="1"/>
  <c r="J21" i="2"/>
  <c r="H73" i="1" s="1"/>
  <c r="H77" i="2"/>
  <c r="H82" i="2" s="1"/>
  <c r="K123" i="2"/>
  <c r="K99" i="2"/>
  <c r="K17" i="2"/>
  <c r="K101" i="2"/>
  <c r="K62" i="2" s="1"/>
  <c r="K23" i="2"/>
  <c r="I106" i="2"/>
  <c r="I74" i="2"/>
  <c r="J270" i="2" a="1"/>
  <c r="J145" i="2"/>
  <c r="J146" i="2" s="1"/>
  <c r="H140" i="2"/>
  <c r="H31" i="2"/>
  <c r="J60" i="2"/>
  <c r="I140" i="2" l="1"/>
  <c r="G79" i="1"/>
  <c r="H142" i="2"/>
  <c r="F87" i="1"/>
  <c r="I108" i="2"/>
  <c r="I109" i="2" s="1"/>
  <c r="I31" i="2"/>
  <c r="I77" i="2"/>
  <c r="I82" i="2" s="1"/>
  <c r="K105" i="2"/>
  <c r="K75" i="2" s="1"/>
  <c r="K100" i="2"/>
  <c r="K61" i="2" s="1"/>
  <c r="K104" i="2"/>
  <c r="J102" i="2"/>
  <c r="K60" i="2"/>
  <c r="J106" i="2"/>
  <c r="J74" i="2"/>
  <c r="K18" i="2"/>
  <c r="K27" i="2" s="1"/>
  <c r="I121" i="2"/>
  <c r="I124" i="2" s="1"/>
  <c r="H65" i="2"/>
  <c r="K270" i="2"/>
  <c r="J270" i="2"/>
  <c r="J272" i="2" s="1"/>
  <c r="J274" i="2" s="1"/>
  <c r="J122" i="2" s="1"/>
  <c r="J29" i="2" s="1"/>
  <c r="H79" i="1" s="1"/>
  <c r="K21" i="2"/>
  <c r="K22" i="2"/>
  <c r="K271" i="2"/>
  <c r="K272" i="2" s="1"/>
  <c r="K274" i="2" s="1"/>
  <c r="K122" i="2" s="1"/>
  <c r="K29" i="2" s="1"/>
  <c r="K140" i="2" s="1"/>
  <c r="K145" i="2"/>
  <c r="K146" i="2" s="1"/>
  <c r="I142" i="2" l="1"/>
  <c r="G87" i="1"/>
  <c r="J108" i="2"/>
  <c r="J109" i="2" s="1"/>
  <c r="K102" i="2"/>
  <c r="J77" i="2"/>
  <c r="J82" i="2" s="1"/>
  <c r="J121" i="2"/>
  <c r="J124" i="2" s="1"/>
  <c r="I65" i="2"/>
  <c r="K106" i="2"/>
  <c r="K74" i="2"/>
  <c r="J140" i="2"/>
  <c r="J31" i="2"/>
  <c r="K31" i="2"/>
  <c r="J142" i="2" l="1"/>
  <c r="H87" i="1"/>
  <c r="K108" i="2"/>
  <c r="K109" i="2" s="1"/>
  <c r="K142" i="2" s="1"/>
  <c r="K121" i="2"/>
  <c r="K124" i="2" s="1"/>
  <c r="K65" i="2" s="1"/>
  <c r="J65" i="2"/>
  <c r="K77" i="2"/>
  <c r="K82" i="2" s="1"/>
  <c r="H179" i="1" l="1"/>
  <c r="H187" i="1" s="1"/>
  <c r="H195" i="1" s="1"/>
  <c r="H203" i="1" s="1"/>
  <c r="H211" i="1" s="1"/>
  <c r="F179" i="1"/>
  <c r="F187" i="1" s="1"/>
  <c r="F195" i="1" s="1"/>
  <c r="F203" i="1" s="1"/>
  <c r="F211" i="1" s="1"/>
  <c r="C173" i="1"/>
  <c r="C162" i="1"/>
  <c r="C165" i="1" s="1"/>
  <c r="D157" i="1"/>
  <c r="C164" i="1"/>
  <c r="F151" i="1"/>
  <c r="F150" i="1"/>
  <c r="F149" i="1"/>
  <c r="F148" i="1"/>
  <c r="F147" i="1"/>
  <c r="B138" i="1"/>
  <c r="B137" i="1"/>
  <c r="E124" i="1"/>
  <c r="E117" i="1"/>
  <c r="E112" i="1"/>
  <c r="E111" i="1"/>
  <c r="E92" i="1"/>
  <c r="F92" i="1" s="1"/>
  <c r="G92" i="1" s="1"/>
  <c r="H92" i="1" s="1"/>
  <c r="C128" i="1" s="1"/>
  <c r="D128" i="1" s="1"/>
  <c r="C124" i="1"/>
  <c r="D83" i="1"/>
  <c r="D81" i="1"/>
  <c r="E81" i="1" s="1"/>
  <c r="F81" i="1" s="1"/>
  <c r="G81" i="1" s="1"/>
  <c r="H81" i="1" s="1"/>
  <c r="C119" i="1" s="1"/>
  <c r="D119" i="1" s="1"/>
  <c r="C117" i="1"/>
  <c r="G83" i="1"/>
  <c r="F83" i="1"/>
  <c r="E83" i="1"/>
  <c r="C83" i="1"/>
  <c r="C112" i="1"/>
  <c r="F75" i="1"/>
  <c r="E75" i="1"/>
  <c r="E67" i="1"/>
  <c r="C59" i="1"/>
  <c r="C58" i="1"/>
  <c r="G55" i="1"/>
  <c r="D55" i="1"/>
  <c r="C55" i="1"/>
  <c r="F54" i="1"/>
  <c r="I54" i="1" s="1"/>
  <c r="E54" i="1"/>
  <c r="F53" i="1"/>
  <c r="I53" i="1" s="1"/>
  <c r="E53" i="1"/>
  <c r="H52" i="1"/>
  <c r="F52" i="1"/>
  <c r="E52" i="1"/>
  <c r="H51" i="1"/>
  <c r="F51" i="1"/>
  <c r="E51" i="1"/>
  <c r="C38" i="1"/>
  <c r="C134" i="1"/>
  <c r="D65" i="1"/>
  <c r="E65" i="1" s="1"/>
  <c r="F65" i="1" s="1"/>
  <c r="G65" i="1" s="1"/>
  <c r="H65" i="1" s="1"/>
  <c r="C103" i="1" s="1"/>
  <c r="D103" i="1" s="1"/>
  <c r="C22" i="1"/>
  <c r="C23" i="1" s="1"/>
  <c r="B2" i="1"/>
  <c r="H55" i="1" l="1"/>
  <c r="I52" i="1"/>
  <c r="I179" i="1"/>
  <c r="I187" i="1" s="1"/>
  <c r="I195" i="1" s="1"/>
  <c r="I203" i="1" s="1"/>
  <c r="I211" i="1" s="1"/>
  <c r="E179" i="1"/>
  <c r="E187" i="1" s="1"/>
  <c r="E195" i="1" s="1"/>
  <c r="E203" i="1" s="1"/>
  <c r="E211" i="1" s="1"/>
  <c r="F55" i="1"/>
  <c r="I51" i="1"/>
  <c r="F157" i="1"/>
  <c r="C166" i="1"/>
  <c r="C170" i="1" s="1"/>
  <c r="D112" i="1"/>
  <c r="D124" i="1"/>
  <c r="E55" i="1"/>
  <c r="C70" i="1"/>
  <c r="C71" i="1" s="1"/>
  <c r="C75" i="1"/>
  <c r="G75" i="1"/>
  <c r="C19" i="1"/>
  <c r="D75" i="1"/>
  <c r="H75" i="1"/>
  <c r="H83" i="1"/>
  <c r="C121" i="1"/>
  <c r="D117" i="1"/>
  <c r="D121" i="1" s="1"/>
  <c r="F67" i="1"/>
  <c r="C97" i="1"/>
  <c r="C104" i="1"/>
  <c r="C111" i="1"/>
  <c r="G67" i="1"/>
  <c r="D67" i="1"/>
  <c r="H67" i="1"/>
  <c r="I55" i="1" l="1"/>
  <c r="C57" i="1" s="1"/>
  <c r="C60" i="1" s="1"/>
  <c r="C44" i="1" s="1"/>
  <c r="C45" i="1" s="1"/>
  <c r="C47" i="1" s="1"/>
  <c r="C76" i="1"/>
  <c r="C80" i="1" s="1"/>
  <c r="C82" i="1" s="1"/>
  <c r="C84" i="1" s="1"/>
  <c r="C88" i="1" s="1"/>
  <c r="C25" i="1"/>
  <c r="C28" i="1" s="1"/>
  <c r="C113" i="1"/>
  <c r="D111" i="1"/>
  <c r="D113" i="1" s="1"/>
  <c r="D104" i="1"/>
  <c r="D93" i="1" l="1"/>
  <c r="D214" i="1"/>
  <c r="D182" i="1"/>
  <c r="D206" i="1"/>
  <c r="D190" i="1"/>
  <c r="D198" i="1"/>
  <c r="C77" i="1"/>
  <c r="F93" i="1"/>
  <c r="E93" i="1"/>
  <c r="G93" i="1"/>
  <c r="H93" i="1"/>
  <c r="C129" i="1" s="1"/>
  <c r="C27" i="1"/>
  <c r="D183" i="1" l="1"/>
  <c r="D181" i="1"/>
  <c r="D70" i="1"/>
  <c r="D189" i="1" l="1"/>
  <c r="D197" i="1" s="1"/>
  <c r="D205" i="1" s="1"/>
  <c r="D213" i="1" s="1"/>
  <c r="D180" i="1"/>
  <c r="D188" i="1" s="1"/>
  <c r="D196" i="1" s="1"/>
  <c r="D204" i="1" s="1"/>
  <c r="D212" i="1" s="1"/>
  <c r="D191" i="1"/>
  <c r="D199" i="1" s="1"/>
  <c r="D207" i="1" s="1"/>
  <c r="D215" i="1" s="1"/>
  <c r="D184" i="1"/>
  <c r="D192" i="1" s="1"/>
  <c r="D200" i="1" s="1"/>
  <c r="D208" i="1" s="1"/>
  <c r="D216" i="1" s="1"/>
  <c r="D71" i="1"/>
  <c r="D76" i="1"/>
  <c r="D77" i="1" l="1"/>
  <c r="D80" i="1"/>
  <c r="D82" i="1" s="1"/>
  <c r="D84" i="1" s="1"/>
  <c r="E70" i="1" l="1"/>
  <c r="E71" i="1" l="1"/>
  <c r="E76" i="1"/>
  <c r="F70" i="1"/>
  <c r="E77" i="1" l="1"/>
  <c r="E80" i="1"/>
  <c r="E82" i="1" s="1"/>
  <c r="E84" i="1" s="1"/>
  <c r="F76" i="1"/>
  <c r="F71" i="1"/>
  <c r="G70" i="1"/>
  <c r="G76" i="1" l="1"/>
  <c r="G71" i="1"/>
  <c r="F77" i="1"/>
  <c r="F80" i="1"/>
  <c r="F82" i="1" s="1"/>
  <c r="F84" i="1" s="1"/>
  <c r="C107" i="1" l="1"/>
  <c r="C108" i="1" s="1"/>
  <c r="H70" i="1"/>
  <c r="G80" i="1"/>
  <c r="G82" i="1" s="1"/>
  <c r="G84" i="1" s="1"/>
  <c r="G77" i="1"/>
  <c r="H76" i="1" l="1"/>
  <c r="H71" i="1"/>
  <c r="C109" i="1"/>
  <c r="D109" i="1" s="1"/>
  <c r="D108" i="1" s="1"/>
  <c r="C114" i="1"/>
  <c r="C115" i="1" l="1"/>
  <c r="C118" i="1"/>
  <c r="C120" i="1" s="1"/>
  <c r="C122" i="1" s="1"/>
  <c r="D114" i="1"/>
  <c r="D107" i="1"/>
  <c r="H77" i="1"/>
  <c r="H80" i="1"/>
  <c r="H82" i="1" s="1"/>
  <c r="H84" i="1" s="1"/>
  <c r="D118" i="1" l="1"/>
  <c r="D120" i="1" s="1"/>
  <c r="D122" i="1" s="1"/>
  <c r="D115" i="1"/>
  <c r="D88" i="1" l="1"/>
  <c r="D94" i="1" s="1"/>
  <c r="E88" i="1" l="1"/>
  <c r="E94" i="1" s="1"/>
  <c r="F88" i="1"/>
  <c r="F94" i="1" s="1"/>
  <c r="G88" i="1" l="1"/>
  <c r="G94" i="1" s="1"/>
  <c r="C125" i="1" l="1"/>
  <c r="H88" i="1"/>
  <c r="H94" i="1" s="1"/>
  <c r="C96" i="1" s="1"/>
  <c r="C137" i="1" l="1"/>
  <c r="C98" i="1"/>
  <c r="D125" i="1"/>
  <c r="D126" i="1" s="1"/>
  <c r="C126" i="1"/>
  <c r="D130" i="1" l="1"/>
  <c r="D131" i="1" s="1"/>
  <c r="C133" i="1" s="1"/>
  <c r="C138" i="1" l="1"/>
  <c r="C139" i="1" s="1"/>
  <c r="D179" i="1" s="1"/>
  <c r="C135" i="1"/>
  <c r="C141" i="1" l="1"/>
  <c r="D187" i="1" s="1"/>
  <c r="D137" i="1"/>
  <c r="D139" i="1"/>
  <c r="C169" i="1"/>
  <c r="C171" i="1" s="1"/>
  <c r="C174" i="1" s="1"/>
  <c r="D195" i="1" s="1"/>
  <c r="C140" i="1"/>
  <c r="D203" i="1" s="1"/>
  <c r="D138" i="1"/>
  <c r="D211" i="1" s="1"/>
  <c r="C175" i="1" l="1"/>
  <c r="H231" i="2"/>
  <c r="H222" i="2"/>
  <c r="G154" i="2"/>
  <c r="G148" i="2"/>
  <c r="G197" i="2"/>
  <c r="G195" i="2"/>
  <c r="G186" i="2"/>
  <c r="G180" i="2"/>
  <c r="F154" i="2"/>
  <c r="F148" i="2"/>
  <c r="I209" i="2"/>
  <c r="I207" i="2"/>
  <c r="H41" i="2"/>
  <c r="H233" i="2"/>
  <c r="J41" i="2"/>
  <c r="J233" i="2"/>
  <c r="J92" i="2"/>
  <c r="J91" i="2"/>
  <c r="I37" i="2"/>
  <c r="I94" i="2"/>
  <c r="K198" i="2"/>
  <c r="J218" i="2"/>
  <c r="J227" i="2"/>
  <c r="J226" i="2"/>
  <c r="K168" i="2"/>
  <c r="K163" i="2"/>
  <c r="J168" i="2"/>
  <c r="J163" i="2"/>
  <c r="I168" i="2"/>
  <c r="I163" i="2"/>
  <c r="F164" i="2"/>
  <c r="F168" i="2"/>
  <c r="G163" i="2"/>
  <c r="G168" i="2"/>
  <c r="H163" i="2"/>
  <c r="H168" i="2"/>
  <c r="G42" i="2"/>
  <c r="F37" i="2"/>
  <c r="G209" i="2"/>
  <c r="G207" i="2"/>
  <c r="I156" i="2"/>
  <c r="F42" i="2"/>
  <c r="I226" i="2"/>
  <c r="I227" i="2"/>
  <c r="I218" i="2"/>
  <c r="J156" i="2"/>
  <c r="F41" i="2"/>
  <c r="F233" i="2"/>
  <c r="F92" i="2"/>
  <c r="F91" i="2"/>
  <c r="K156" i="2"/>
  <c r="J209" i="2"/>
  <c r="J207" i="2"/>
  <c r="G156" i="2"/>
  <c r="H154" i="2"/>
  <c r="H180" i="2"/>
  <c r="H186" i="2"/>
  <c r="H195" i="2"/>
  <c r="H197" i="2"/>
  <c r="H148" i="2"/>
  <c r="F209" i="2"/>
  <c r="F207" i="2"/>
  <c r="G37" i="2"/>
  <c r="F231" i="2"/>
  <c r="F222" i="2"/>
  <c r="J184" i="2"/>
  <c r="K184" i="2"/>
  <c r="F63" i="2"/>
  <c r="F71" i="2"/>
  <c r="F94" i="2"/>
  <c r="I184" i="2"/>
  <c r="G232" i="2"/>
  <c r="G226" i="2"/>
  <c r="G227" i="2"/>
  <c r="G218" i="2"/>
  <c r="K207" i="2"/>
  <c r="K209" i="2"/>
  <c r="H94" i="2"/>
  <c r="H37" i="2"/>
  <c r="I233" i="2"/>
  <c r="I41" i="2"/>
  <c r="H139" i="2"/>
  <c r="H143" i="2"/>
  <c r="H157" i="2"/>
  <c r="H158" i="2"/>
  <c r="H58" i="2"/>
  <c r="H63" i="2"/>
  <c r="H71" i="2"/>
  <c r="H91" i="2"/>
  <c r="H92" i="2"/>
  <c r="K218" i="2"/>
  <c r="K227" i="2"/>
  <c r="G222" i="2"/>
  <c r="G231" i="2"/>
  <c r="K37" i="2"/>
  <c r="H42" i="2"/>
  <c r="G94" i="2"/>
  <c r="G41" i="2"/>
  <c r="G230" i="2"/>
  <c r="G233" i="2"/>
  <c r="I152" i="2"/>
  <c r="I172" i="2"/>
  <c r="I166" i="2"/>
  <c r="I182" i="2"/>
  <c r="K226" i="2"/>
  <c r="C251" i="2"/>
  <c r="K164" i="2"/>
  <c r="K41" i="2"/>
  <c r="K233" i="2"/>
  <c r="J164" i="2"/>
  <c r="H156" i="2"/>
  <c r="K231" i="2"/>
  <c r="K215" i="2"/>
  <c r="K219" i="2"/>
  <c r="K222" i="2"/>
  <c r="J230" i="2"/>
  <c r="J232" i="2"/>
  <c r="J42" i="2"/>
  <c r="G63" i="2"/>
  <c r="G71" i="2"/>
  <c r="G91" i="2"/>
  <c r="G92" i="2"/>
  <c r="I180" i="2"/>
  <c r="I186" i="2"/>
  <c r="I195" i="2"/>
  <c r="I197" i="2"/>
  <c r="I148" i="2"/>
  <c r="I154" i="2"/>
  <c r="J154" i="2"/>
  <c r="J180" i="2"/>
  <c r="J186" i="2"/>
  <c r="J195" i="2"/>
  <c r="J197" i="2"/>
  <c r="J148" i="2"/>
  <c r="K230" i="2"/>
  <c r="K232" i="2"/>
  <c r="K42" i="2"/>
  <c r="K182" i="2"/>
  <c r="K172" i="2"/>
  <c r="K166" i="2"/>
  <c r="K152" i="2"/>
  <c r="H184" i="2"/>
  <c r="G182" i="2"/>
  <c r="G172" i="2"/>
  <c r="G166" i="2"/>
  <c r="G152" i="2"/>
  <c r="K94" i="2"/>
  <c r="L175" i="2"/>
  <c r="I139" i="2"/>
  <c r="I143" i="2"/>
  <c r="I157" i="2"/>
  <c r="I158" i="2"/>
  <c r="I58" i="2"/>
  <c r="I63" i="2"/>
  <c r="I71" i="2"/>
  <c r="I91" i="2"/>
  <c r="I92" i="2"/>
  <c r="I164" i="2"/>
  <c r="I222" i="2"/>
  <c r="I231" i="2"/>
  <c r="H182" i="2"/>
  <c r="H172" i="2"/>
  <c r="H166" i="2"/>
  <c r="H152" i="2"/>
  <c r="H164" i="2"/>
  <c r="J139" i="2"/>
  <c r="J143" i="2"/>
  <c r="J157" i="2"/>
  <c r="J158" i="2"/>
  <c r="J58" i="2"/>
  <c r="J63" i="2"/>
  <c r="J71" i="2"/>
  <c r="J94" i="2"/>
  <c r="J37" i="2"/>
  <c r="F157" i="2"/>
  <c r="F158" i="2"/>
  <c r="F58" i="2"/>
  <c r="G184" i="2"/>
  <c r="H202" i="2"/>
  <c r="H205" i="2"/>
  <c r="H211" i="2"/>
  <c r="H35" i="2"/>
  <c r="H36" i="2"/>
  <c r="H39" i="2"/>
  <c r="H230" i="2"/>
  <c r="H232" i="2"/>
  <c r="H226" i="2"/>
  <c r="H227" i="2"/>
  <c r="H218" i="2"/>
  <c r="F182" i="2"/>
  <c r="F172" i="2"/>
  <c r="F166" i="2"/>
  <c r="F152" i="2"/>
  <c r="I202" i="2"/>
  <c r="I205" i="2"/>
  <c r="I211" i="2"/>
  <c r="I35" i="2"/>
  <c r="I36" i="2"/>
  <c r="I39" i="2"/>
  <c r="I230" i="2"/>
  <c r="I232" i="2"/>
  <c r="I42" i="2"/>
  <c r="F230" i="2"/>
  <c r="F232" i="2"/>
  <c r="F226" i="2"/>
  <c r="F227" i="2"/>
  <c r="F218" i="2"/>
  <c r="F219" i="2"/>
  <c r="G215" i="2"/>
  <c r="G219" i="2"/>
  <c r="H215" i="2"/>
  <c r="H219" i="2"/>
  <c r="I215" i="2"/>
  <c r="I219" i="2"/>
  <c r="J215" i="2"/>
  <c r="J219" i="2"/>
  <c r="J222" i="2"/>
  <c r="J231" i="2"/>
  <c r="G164" i="2"/>
  <c r="J182" i="2"/>
  <c r="J202" i="2"/>
  <c r="J205" i="2"/>
  <c r="J211" i="2"/>
  <c r="J35" i="2"/>
  <c r="J36" i="2"/>
  <c r="J39" i="2"/>
  <c r="J172" i="2"/>
  <c r="J166" i="2"/>
  <c r="J152" i="2"/>
  <c r="G202" i="2"/>
  <c r="G205" i="2"/>
  <c r="G211" i="2"/>
  <c r="G35" i="2"/>
  <c r="G36" i="2"/>
  <c r="G39" i="2"/>
  <c r="G139" i="2"/>
  <c r="G143" i="2"/>
  <c r="G157" i="2"/>
  <c r="G158" i="2"/>
  <c r="G58" i="2"/>
  <c r="H207" i="2"/>
  <c r="H209" i="2"/>
  <c r="K180" i="2"/>
  <c r="K186" i="2"/>
  <c r="K195" i="2"/>
  <c r="K197" i="2"/>
  <c r="K148" i="2"/>
  <c r="K154" i="2"/>
  <c r="F202" i="2"/>
  <c r="F205" i="2"/>
  <c r="F211" i="2"/>
  <c r="F35" i="2"/>
  <c r="F36" i="2"/>
  <c r="F39" i="2"/>
  <c r="F139" i="2"/>
  <c r="F143" i="2"/>
  <c r="F180" i="2"/>
  <c r="F186" i="2"/>
  <c r="F195" i="2"/>
  <c r="F197" i="2"/>
  <c r="F198" i="2"/>
  <c r="G196" i="2"/>
  <c r="G198" i="2"/>
  <c r="H196" i="2"/>
  <c r="H198" i="2"/>
  <c r="I196" i="2"/>
  <c r="I198" i="2"/>
  <c r="J196" i="2"/>
  <c r="J198" i="2"/>
  <c r="K196" i="2"/>
  <c r="K202" i="2"/>
  <c r="K205" i="2"/>
  <c r="K211" i="2"/>
  <c r="K35" i="2"/>
  <c r="K36" i="2"/>
  <c r="K39" i="2"/>
  <c r="K139" i="2"/>
  <c r="K143" i="2"/>
  <c r="K157" i="2"/>
  <c r="K158" i="2"/>
  <c r="K58" i="2"/>
  <c r="K63" i="2"/>
  <c r="K71" i="2"/>
  <c r="K91" i="2"/>
  <c r="K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Wall Street Oasis</author>
  </authors>
  <commentList>
    <comment ref="B191" authorId="0" shapeId="0" xr:uid="{6BE3049F-381D-468D-9C74-7065CCC6A1DF}">
      <text>
        <r>
          <rPr>
            <sz val="9"/>
            <color indexed="81"/>
            <rFont val="Tahoma"/>
            <family val="2"/>
          </rPr>
          <t>Assumes all maturing debt is refinanced</t>
        </r>
      </text>
    </comment>
  </commentList>
</comments>
</file>

<file path=xl/sharedStrings.xml><?xml version="1.0" encoding="utf-8"?>
<sst xmlns="http://schemas.openxmlformats.org/spreadsheetml/2006/main" count="378" uniqueCount="300">
  <si>
    <t>x</t>
  </si>
  <si>
    <t>(USD in millions, except per share)</t>
  </si>
  <si>
    <t>Company name</t>
  </si>
  <si>
    <t>Nvidia</t>
  </si>
  <si>
    <t>Ticker</t>
  </si>
  <si>
    <t>NVDA</t>
  </si>
  <si>
    <t>Share price as of last close</t>
  </si>
  <si>
    <t>Latest closing share price date</t>
  </si>
  <si>
    <t>Latest fiscal year end date</t>
  </si>
  <si>
    <t>Case</t>
  </si>
  <si>
    <t>&lt;--Customize model through the next P&amp;L Sheet. Changes will be showcased here.</t>
  </si>
  <si>
    <t>Weighted Average Cost of Capital (WACC)</t>
  </si>
  <si>
    <t>Basic Capitalization Table:</t>
  </si>
  <si>
    <t>Short-term debt</t>
  </si>
  <si>
    <t>Long-term debt</t>
  </si>
  <si>
    <t>Total Debt</t>
  </si>
  <si>
    <t>Total Diluted Shares Outstanding</t>
  </si>
  <si>
    <t>Current Share Price</t>
  </si>
  <si>
    <t>Total Equity Value</t>
  </si>
  <si>
    <t>Total Capitalization</t>
  </si>
  <si>
    <t>Debt as % of Total Capitalization</t>
  </si>
  <si>
    <t>Equity as % of Total Capitalization</t>
  </si>
  <si>
    <t>Target Capitalization Ratios:</t>
  </si>
  <si>
    <t>Cost of Debt:</t>
  </si>
  <si>
    <t>Debt Financing Interest Rate</t>
  </si>
  <si>
    <t>Corporate Tax Rate (Debt Shield)</t>
  </si>
  <si>
    <t>Tax-affected Cost of Debt</t>
  </si>
  <si>
    <t>Cost of Equity:</t>
  </si>
  <si>
    <t>Risk-free Rate</t>
  </si>
  <si>
    <t>Equity Risk Premium</t>
  </si>
  <si>
    <t>Size "Premium"</t>
  </si>
  <si>
    <t>Levered Beta</t>
  </si>
  <si>
    <t>&lt;-- based on Comps? Either 0 or 1 to change outcome.</t>
  </si>
  <si>
    <t>Cost of Equity</t>
  </si>
  <si>
    <t>Weighted Avg. Cost of Capital (WACC)</t>
  </si>
  <si>
    <t>Beta Comparable Comparisons:</t>
  </si>
  <si>
    <t>Equity</t>
  </si>
  <si>
    <t>Market</t>
  </si>
  <si>
    <t>Corporate</t>
  </si>
  <si>
    <t>Unlevered</t>
  </si>
  <si>
    <t>Debt Out.</t>
  </si>
  <si>
    <t>Market Cap</t>
  </si>
  <si>
    <t xml:space="preserve">Total Cap. </t>
  </si>
  <si>
    <t>Debt / Equity</t>
  </si>
  <si>
    <t>Lev. Beta</t>
  </si>
  <si>
    <t>Tax Rate</t>
  </si>
  <si>
    <t>Beta</t>
  </si>
  <si>
    <t>AMD</t>
  </si>
  <si>
    <t>Intel</t>
  </si>
  <si>
    <t>Microsoft</t>
  </si>
  <si>
    <t>Qualcomm</t>
  </si>
  <si>
    <t>Median</t>
  </si>
  <si>
    <t>Comp Set Median Unlevered Beta</t>
  </si>
  <si>
    <t>Marginal Tax Rate</t>
  </si>
  <si>
    <t>Unlevered Free Cash Flow</t>
  </si>
  <si>
    <t>Total Revenues</t>
  </si>
  <si>
    <t>Growth Rate (%)</t>
  </si>
  <si>
    <t>Cost of Sales</t>
  </si>
  <si>
    <t>Gross Profit</t>
  </si>
  <si>
    <t>Gross Margin (%)</t>
  </si>
  <si>
    <t>Demand Creation</t>
  </si>
  <si>
    <t>Operating Overhead</t>
  </si>
  <si>
    <t>Total SG&amp;A</t>
  </si>
  <si>
    <t>EBITDA</t>
  </si>
  <si>
    <t>EBITDA Margin (%)</t>
  </si>
  <si>
    <t>Less: Depreciation &amp; Amortization</t>
  </si>
  <si>
    <t>EBIT</t>
  </si>
  <si>
    <t>Corporate Tax Rate</t>
  </si>
  <si>
    <t>Tax-affected EBIT</t>
  </si>
  <si>
    <t>Add-back: D&amp;A (non-cash expense)</t>
  </si>
  <si>
    <t>Tax-affected EBIT + D&amp;A</t>
  </si>
  <si>
    <t>Less: CapEx</t>
  </si>
  <si>
    <t>Plus / (Less): Change in Net Working Capital (NWC)</t>
  </si>
  <si>
    <t>Unlevered Free Cash Flow (FCF)</t>
  </si>
  <si>
    <t>Mid-Year Convention?</t>
  </si>
  <si>
    <t>&lt; Input 1: Yes ; 0: No</t>
  </si>
  <si>
    <t>Discount Year</t>
  </si>
  <si>
    <t>Discount Factor</t>
  </si>
  <si>
    <t>NPV of Unlevered FCF</t>
  </si>
  <si>
    <t>NPV of FY23 - FY27 Free Cash Flow</t>
  </si>
  <si>
    <t>Fully Diluted Shares</t>
  </si>
  <si>
    <t>$ / Share</t>
  </si>
  <si>
    <t>Terminal Value Using Perpetuity Approach to Present Value</t>
  </si>
  <si>
    <t>Terminal Yr.</t>
  </si>
  <si>
    <t>Perpetual</t>
  </si>
  <si>
    <t>Growth Rate</t>
  </si>
  <si>
    <t>Unlevered FCF</t>
  </si>
  <si>
    <t>Terminal Value in FY27</t>
  </si>
  <si>
    <t>PV of Terminal Value today</t>
  </si>
  <si>
    <t>NPV of Terminal Value</t>
  </si>
  <si>
    <t>% of TEV</t>
  </si>
  <si>
    <t>Total Enterprise Value Using DCF</t>
  </si>
  <si>
    <t>Multiple on FY2023 EBITDA</t>
  </si>
  <si>
    <t>Multiple on FY2027 EBITDA</t>
  </si>
  <si>
    <t>Calculating Share Price using Capital Structure</t>
  </si>
  <si>
    <t>Face</t>
  </si>
  <si>
    <t>Book</t>
  </si>
  <si>
    <t>Nividia Capital Structure:</t>
  </si>
  <si>
    <t>Amount</t>
  </si>
  <si>
    <t>Interest Rate</t>
  </si>
  <si>
    <t>Int. Expense</t>
  </si>
  <si>
    <t>Corporate Bond Due 2023</t>
  </si>
  <si>
    <t>Corporate Bond Due 2024</t>
  </si>
  <si>
    <t>Corporate Bond Due 2026</t>
  </si>
  <si>
    <t>Corporate Bond Due 2028</t>
  </si>
  <si>
    <t>Corporate Bond Due 2030</t>
  </si>
  <si>
    <t>Corporate Bond Due 2031</t>
  </si>
  <si>
    <t>Corporate Bond Due 2040</t>
  </si>
  <si>
    <t>Corporate Bond Due 2050</t>
  </si>
  <si>
    <t>Corporate Bond Due 2060</t>
  </si>
  <si>
    <t>Unamortized debt discount and issuance costs</t>
  </si>
  <si>
    <t>Total Interest Bearing Liabilities</t>
  </si>
  <si>
    <t>Net Debt Calculation:</t>
  </si>
  <si>
    <t>Total Balance Sheet Cash</t>
  </si>
  <si>
    <t>Minimum Cash to Run Business</t>
  </si>
  <si>
    <t>&lt; Assumption for Nvidia</t>
  </si>
  <si>
    <t>Excess Available Cash</t>
  </si>
  <si>
    <t>Total Corporate Debt Face Amount</t>
  </si>
  <si>
    <t>Less: Excess Available Cash</t>
  </si>
  <si>
    <t>Net Debt Balance</t>
  </si>
  <si>
    <t>Calculating Share Price:</t>
  </si>
  <si>
    <t>Total Enerprise Value Using DCF</t>
  </si>
  <si>
    <t>Less: Net Debt</t>
  </si>
  <si>
    <t>Equity Value</t>
  </si>
  <si>
    <t>Implied DCF Price / Share</t>
  </si>
  <si>
    <t>Upside / (Downside) % to Current Price</t>
  </si>
  <si>
    <t>Sensitivity Analysis</t>
  </si>
  <si>
    <t>Enterprise Value Sensitivity to WACC and Growth</t>
  </si>
  <si>
    <t>Perpetual Growth Rate</t>
  </si>
  <si>
    <t>WACC</t>
  </si>
  <si>
    <t>Implied TV Multiple Sensitivity to WACC and Growth</t>
  </si>
  <si>
    <t>Price per Share Sensitivity to WACC and Growth</t>
  </si>
  <si>
    <t>EV / FY2020E EBITDA Sensitivity to WACC and Growth</t>
  </si>
  <si>
    <t>PV of TV as a % of EV Sensitivity to WACC and Growth</t>
  </si>
  <si>
    <t>Company Name</t>
  </si>
  <si>
    <t>NVIDIA</t>
  </si>
  <si>
    <t>Base Case</t>
  </si>
  <si>
    <t>&lt;--Customize DCF Model with Drop-Down</t>
  </si>
  <si>
    <t>Circularity</t>
  </si>
  <si>
    <t>Income Statement</t>
  </si>
  <si>
    <t>Revenue</t>
  </si>
  <si>
    <t>Revenue Growth Rate</t>
  </si>
  <si>
    <t>COGS (excl. D&amp;A)</t>
  </si>
  <si>
    <t>Gross Profit Margin</t>
  </si>
  <si>
    <t>Research and Development</t>
  </si>
  <si>
    <t>Other SG&amp;A</t>
  </si>
  <si>
    <t>Total SG&amp;A (excl. D &amp; A)</t>
  </si>
  <si>
    <t>SG&amp;A Ratio</t>
  </si>
  <si>
    <t>Reported EBITDA</t>
  </si>
  <si>
    <t>EBITDA Margin</t>
  </si>
  <si>
    <t>Depreciation</t>
  </si>
  <si>
    <t>Amortization</t>
  </si>
  <si>
    <t>Unusual Expense</t>
  </si>
  <si>
    <t>Non-Operating Income/Expense</t>
  </si>
  <si>
    <t>Non-Operating Interest Income</t>
  </si>
  <si>
    <t>Interest Expense</t>
  </si>
  <si>
    <t>Pretax Income</t>
  </si>
  <si>
    <t>Income Tax (Benefit)</t>
  </si>
  <si>
    <t>Annual Effective Tax Rate</t>
  </si>
  <si>
    <t>Net Income</t>
  </si>
  <si>
    <t>EPS (Basic)</t>
  </si>
  <si>
    <t>EPS (Diluted)</t>
  </si>
  <si>
    <t>Drivers</t>
  </si>
  <si>
    <t>Revenue Growth</t>
  </si>
  <si>
    <t>Upside Case</t>
  </si>
  <si>
    <t>Downside Case</t>
  </si>
  <si>
    <t>Gross Margin</t>
  </si>
  <si>
    <t>SG&amp;A as % of Revenue</t>
  </si>
  <si>
    <t>Effective Tax Rate</t>
  </si>
  <si>
    <t>Balance Sheet</t>
  </si>
  <si>
    <t>Assets:</t>
  </si>
  <si>
    <t>Cash and Cash Equivalents</t>
  </si>
  <si>
    <t>Marketable Securities</t>
  </si>
  <si>
    <t>Accounts Receivable, net</t>
  </si>
  <si>
    <t>Inventories</t>
  </si>
  <si>
    <t>Prepaid Expenses</t>
  </si>
  <si>
    <t>Total Current Assets</t>
  </si>
  <si>
    <t>PP&amp;E, net</t>
  </si>
  <si>
    <t>Operating Lease Assets</t>
  </si>
  <si>
    <t>Goodwill</t>
  </si>
  <si>
    <t>Intangible Assets, net</t>
  </si>
  <si>
    <t>Deferred Income Tax Assets</t>
  </si>
  <si>
    <t>Other Assets</t>
  </si>
  <si>
    <t>Total Assets</t>
  </si>
  <si>
    <t>Liabilities and Shareholder's Equity:</t>
  </si>
  <si>
    <t>Accounts Payable</t>
  </si>
  <si>
    <t>Accrued and Other Current Liabilities</t>
  </si>
  <si>
    <t>Short-Term Debt</t>
  </si>
  <si>
    <t>Total current liabilities</t>
  </si>
  <si>
    <t>Long-Term Debt</t>
  </si>
  <si>
    <t>Long-Term Operating Lease Liabilities</t>
  </si>
  <si>
    <t>Other Long-Term Liabilities</t>
  </si>
  <si>
    <t>Total liabilities</t>
  </si>
  <si>
    <t>Shareholder's Equity:</t>
  </si>
  <si>
    <t>Preferred Stock</t>
  </si>
  <si>
    <t>Common Stock</t>
  </si>
  <si>
    <t>Additional Paid-in Capital</t>
  </si>
  <si>
    <t>Treasury Stock</t>
  </si>
  <si>
    <t>Accumulated Other Comprehensive Income (loss)</t>
  </si>
  <si>
    <t>Retained Earnings</t>
  </si>
  <si>
    <t>Total shareholders' equity</t>
  </si>
  <si>
    <t>Total liabilities and shareholders' equity</t>
  </si>
  <si>
    <t>Check</t>
  </si>
  <si>
    <t>Working Capital Schedule</t>
  </si>
  <si>
    <t>Working Capital Balances</t>
  </si>
  <si>
    <t>Prepaid Expenses and Other Current Assets</t>
  </si>
  <si>
    <t>Total Non-Cash Current Assets</t>
  </si>
  <si>
    <t>Accrued Liabilities</t>
  </si>
  <si>
    <t>Total Non-Debt Current Liabilities</t>
  </si>
  <si>
    <t>Net Working Capital</t>
  </si>
  <si>
    <t>Change in Net Working Capital</t>
  </si>
  <si>
    <t>Days Sales Outstanding (DSO)</t>
  </si>
  <si>
    <t>Inventory Turns</t>
  </si>
  <si>
    <t>Prepaid exp. as % of Revenue</t>
  </si>
  <si>
    <t>Days Payables Outstanding (DPO)</t>
  </si>
  <si>
    <t>Accrued Liabilities as % of COGS</t>
  </si>
  <si>
    <t>PP&amp;E and Intangible Schedule</t>
  </si>
  <si>
    <t>Beginning PP&amp;E Balance</t>
  </si>
  <si>
    <t>Capex</t>
  </si>
  <si>
    <t>Ending PP&amp;E</t>
  </si>
  <si>
    <t>Beginning Intangible Balance</t>
  </si>
  <si>
    <t>Additions</t>
  </si>
  <si>
    <t>Ending Intangible Balance</t>
  </si>
  <si>
    <t>Capex as % of revenue</t>
  </si>
  <si>
    <t>Depreciation as % of capex</t>
  </si>
  <si>
    <t>Cash Flow Statement</t>
  </si>
  <si>
    <t>(Increase) Decrease to Net Working Capital</t>
  </si>
  <si>
    <t>Cash Flow from Operations</t>
  </si>
  <si>
    <t>Cash Flow From Investing Activities</t>
  </si>
  <si>
    <t>Revolver draw (paydown)</t>
  </si>
  <si>
    <t>Debt issuance</t>
  </si>
  <si>
    <t>Debt paydown</t>
  </si>
  <si>
    <t>Share repurchase</t>
  </si>
  <si>
    <t>Dividends</t>
  </si>
  <si>
    <t>Option proceeds</t>
  </si>
  <si>
    <t>Cash Flow From Financing Activities</t>
  </si>
  <si>
    <t>Beginning Cash</t>
  </si>
  <si>
    <t>Change in Cash</t>
  </si>
  <si>
    <t>Ending Cash</t>
  </si>
  <si>
    <t>Equity Schedule</t>
  </si>
  <si>
    <t>Stockholder's Equity</t>
  </si>
  <si>
    <t>Beginning balance</t>
  </si>
  <si>
    <t>Net income</t>
  </si>
  <si>
    <t>Ending balance</t>
  </si>
  <si>
    <t>Dividend payout ratio</t>
  </si>
  <si>
    <t>Step</t>
  </si>
  <si>
    <t>Average strike price</t>
  </si>
  <si>
    <t>Debt Paydown &amp; Interest Schedule</t>
  </si>
  <si>
    <t>Cash flow available for financing activities</t>
  </si>
  <si>
    <t>Repurchase of equity</t>
  </si>
  <si>
    <t>Option Proceeds</t>
  </si>
  <si>
    <t>Plus: Beginning cash balance</t>
  </si>
  <si>
    <t>Less: Minimum cash balance</t>
  </si>
  <si>
    <t>Cash available for debt paydown</t>
  </si>
  <si>
    <t>Beginning Balance</t>
  </si>
  <si>
    <t>Repayment/Amortization (Operating Lease Payments)</t>
  </si>
  <si>
    <t>Issuance</t>
  </si>
  <si>
    <t>Ending Balance</t>
  </si>
  <si>
    <t>Revolver</t>
  </si>
  <si>
    <t>Cash available for revolver</t>
  </si>
  <si>
    <t>Beginning revolver balance</t>
  </si>
  <si>
    <t>Draw (paydown)</t>
  </si>
  <si>
    <t>Ending revolver balance</t>
  </si>
  <si>
    <t>Interest</t>
  </si>
  <si>
    <t>Revolver interest rate</t>
  </si>
  <si>
    <t>Revolver interest expense</t>
  </si>
  <si>
    <t>Long-term debt interest rate</t>
  </si>
  <si>
    <t>Long-term interest expense</t>
  </si>
  <si>
    <t>Total interest expense</t>
  </si>
  <si>
    <t>Average cash balance</t>
  </si>
  <si>
    <t>Cash interest rate</t>
  </si>
  <si>
    <t>Interest income</t>
  </si>
  <si>
    <t>Net Interest Expense (Income)</t>
  </si>
  <si>
    <t>Shares Outstanding</t>
  </si>
  <si>
    <t>Beginning basic shares outstanding</t>
  </si>
  <si>
    <t>New share issuance</t>
  </si>
  <si>
    <t>Shares issued from options</t>
  </si>
  <si>
    <t>Ending basic shares outstanding</t>
  </si>
  <si>
    <t>Effect of dilutive securities</t>
  </si>
  <si>
    <t>Diluted shares outstanding</t>
  </si>
  <si>
    <t>Share Repurchase</t>
  </si>
  <si>
    <t>Projected P/E Multiple</t>
  </si>
  <si>
    <t>Projected share price</t>
  </si>
  <si>
    <t>Total shares repurchased</t>
  </si>
  <si>
    <t>EPS</t>
  </si>
  <si>
    <t>EPS Basic</t>
  </si>
  <si>
    <t>Revenue By Geography</t>
  </si>
  <si>
    <t>United States</t>
  </si>
  <si>
    <t>Taiwan</t>
  </si>
  <si>
    <t>Other Countries</t>
  </si>
  <si>
    <t>Growth Rates</t>
  </si>
  <si>
    <t>2028 Projected Share Price</t>
  </si>
  <si>
    <t>U.S.
Sales Growth Rate</t>
  </si>
  <si>
    <t>Depreciation Waterfall</t>
  </si>
  <si>
    <t>Average</t>
  </si>
  <si>
    <t>Useful Life</t>
  </si>
  <si>
    <t>Depreciation of Existing PP&amp;E</t>
  </si>
  <si>
    <t>Depreciation of New Capex</t>
  </si>
  <si>
    <t>Total Depreciation of New Capex</t>
  </si>
  <si>
    <t>Total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</si>
</sst>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5" formatCode="&quot;$&quot;#,##0_);\(&quot;$&quot;#,##0\)"/>
    <numFmt numFmtId="44" formatCode="_(&quot;$&quot;* #,##0.00_);_(&quot;$&quot;* \(#,##0.00\);_(&quot;$&quot;* &quot;-&quot;??_);_(@_)"/>
    <numFmt numFmtId="164" formatCode=";;;"/>
    <numFmt numFmtId="165" formatCode="&quot;$&quot;#,##0.00"/>
    <numFmt numFmtId="166" formatCode="m/d/yy;@"/>
    <numFmt numFmtId="167" formatCode="_(#,##0.0%_);\(#,##0.0%\);_(&quot;–&quot;_)_%;_(@_)_%"/>
    <numFmt numFmtId="168" formatCode="0.0%"/>
    <numFmt numFmtId="169" formatCode="&quot;Yes&quot;;\-;&quot;No&quot;"/>
    <numFmt numFmtId="170" formatCode="&quot;FY&quot;\ yyyy"/>
    <numFmt numFmtId="171" formatCode="&quot;$&quot;#,##0"/>
    <numFmt numFmtId="172" formatCode="#,##0.0"/>
    <numFmt numFmtId="173" formatCode="&quot;$&quot;#,##0.0_);\(&quot;$&quot;#,##0.0\)"/>
    <numFmt numFmtId="174" formatCode="&quot;$&quot;#,##0_);\(&quot;$&quot;#,##0\);\–_);&quot;–&quot;_)"/>
    <numFmt numFmtId="175" formatCode="0_);\(0\)"/>
    <numFmt numFmtId="176" formatCode="0.0&quot;x&quot;_)"/>
    <numFmt numFmtId="177" formatCode="_(#,##0.00%_);\(#,##0.00%\);_(&quot;–&quot;_)_%;_(@_)_%"/>
    <numFmt numFmtId="178" formatCode="0.0\x"/>
    <numFmt numFmtId="179" formatCode="yyyy\A"/>
    <numFmt numFmtId="180" formatCode="#,##0;\(#,##0\)"/>
    <numFmt numFmtId="181" formatCode="#,##0;\(#,##0\);0"/>
    <numFmt numFmtId="182" formatCode="#,##0;#,##0"/>
    <numFmt numFmtId="183" formatCode="0.00%;\(0.00%\)"/>
    <numFmt numFmtId="184" formatCode="#,##0.00%;\(#,##0.00%\)"/>
    <numFmt numFmtId="185" formatCode="#,##0.00%;\(#,###.00\)%"/>
    <numFmt numFmtId="186" formatCode="#,##0;\(#,##0\);\-"/>
    <numFmt numFmtId="187" formatCode="#,##0;\(#,##0\);0.000"/>
    <numFmt numFmtId="188" formatCode="#,##0.0\x"/>
    <numFmt numFmtId="189" formatCode="#,##0.00%;\(#,##0.00%\);\-"/>
    <numFmt numFmtId="190" formatCode="#,##0.0\x;\(#,##0\x\);0\x"/>
    <numFmt numFmtId="191" formatCode="#,##0.0\x;\(#,##0.0\x\);0\x"/>
    <numFmt numFmtId="192" formatCode="0.0"/>
    <numFmt numFmtId="193" formatCode="0.00_);\(0.00\)"/>
    <numFmt numFmtId="194" formatCode="_([$$-409]* #,##0.00_);_([$$-409]* \(#,##0.00\);_([$$-409]* &quot;-&quot;??_);_(@_)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0"/>
      <name val="Arial"/>
      <family val="2"/>
    </font>
    <font>
      <sz val="11"/>
      <color theme="0"/>
      <name val="Arial"/>
      <family val="2"/>
    </font>
    <font>
      <i/>
      <sz val="11"/>
      <color theme="1"/>
      <name val="Arial"/>
      <family val="2"/>
    </font>
    <font>
      <sz val="11"/>
      <color rgb="FF0000FF"/>
      <name val="Arial"/>
      <family val="2"/>
    </font>
    <font>
      <sz val="11"/>
      <color rgb="FF008000"/>
      <name val="Arial"/>
      <family val="2"/>
    </font>
    <font>
      <b/>
      <sz val="11"/>
      <color theme="0"/>
      <name val="Arial"/>
      <family val="2"/>
    </font>
    <font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1"/>
      <color rgb="FF0000FF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u/>
      <sz val="11"/>
      <color rgb="FF000000"/>
      <name val="Arial"/>
      <family val="2"/>
    </font>
    <font>
      <b/>
      <sz val="11"/>
      <name val="Arial"/>
      <family val="2"/>
    </font>
    <font>
      <b/>
      <sz val="11"/>
      <color rgb="FF008000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b/>
      <u/>
      <sz val="11"/>
      <color theme="1"/>
      <name val="Arial"/>
      <family val="2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189ED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8405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5" fillId="0" borderId="0" applyFill="0" applyBorder="0" applyAlignment="0" applyProtection="0"/>
    <xf numFmtId="0" fontId="17" fillId="0" borderId="0"/>
    <xf numFmtId="0" fontId="18" fillId="0" borderId="0"/>
    <xf numFmtId="0" fontId="28" fillId="7" borderId="17" applyNumberFormat="0" applyAlignment="0" applyProtection="0"/>
    <xf numFmtId="0" fontId="29" fillId="8" borderId="17" applyNumberFormat="0" applyAlignment="0" applyProtection="0"/>
    <xf numFmtId="0" fontId="31" fillId="0" borderId="0" applyNumberFormat="0" applyFill="0" applyBorder="0" applyAlignment="0" applyProtection="0"/>
    <xf numFmtId="0" fontId="1" fillId="9" borderId="0" applyNumberFormat="0" applyBorder="0" applyAlignment="0" applyProtection="0"/>
  </cellStyleXfs>
  <cellXfs count="36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164" fontId="3" fillId="0" borderId="0" xfId="0" applyNumberFormat="1" applyFont="1" applyAlignment="1">
      <alignment horizontal="center" vertical="center"/>
    </xf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7" fillId="0" borderId="0" xfId="0" applyFont="1" applyAlignment="1">
      <alignment horizontal="left"/>
    </xf>
    <xf numFmtId="0" fontId="9" fillId="2" borderId="0" xfId="0" applyFont="1" applyFill="1" applyAlignment="1">
      <alignment horizontal="centerContinuous"/>
    </xf>
    <xf numFmtId="0" fontId="10" fillId="0" borderId="0" xfId="0" applyFont="1"/>
    <xf numFmtId="37" fontId="8" fillId="0" borderId="0" xfId="0" applyNumberFormat="1" applyFont="1"/>
    <xf numFmtId="37" fontId="8" fillId="0" borderId="1" xfId="0" applyNumberFormat="1" applyFont="1" applyBorder="1"/>
    <xf numFmtId="0" fontId="11" fillId="0" borderId="0" xfId="0" applyFont="1"/>
    <xf numFmtId="37" fontId="12" fillId="0" borderId="0" xfId="0" applyNumberFormat="1" applyFont="1"/>
    <xf numFmtId="165" fontId="13" fillId="0" borderId="1" xfId="0" applyNumberFormat="1" applyFont="1" applyBorder="1"/>
    <xf numFmtId="167" fontId="3" fillId="0" borderId="0" xfId="0" applyNumberFormat="1" applyFont="1"/>
    <xf numFmtId="168" fontId="13" fillId="0" borderId="0" xfId="1" applyNumberFormat="1" applyFont="1"/>
    <xf numFmtId="2" fontId="7" fillId="3" borderId="0" xfId="0" applyNumberFormat="1" applyFont="1" applyFill="1"/>
    <xf numFmtId="168" fontId="7" fillId="0" borderId="0" xfId="1" applyNumberFormat="1" applyFont="1"/>
    <xf numFmtId="168" fontId="8" fillId="0" borderId="0" xfId="1" applyNumberFormat="1" applyFont="1"/>
    <xf numFmtId="168" fontId="7" fillId="0" borderId="1" xfId="1" applyNumberFormat="1" applyFont="1" applyBorder="1"/>
    <xf numFmtId="167" fontId="13" fillId="0" borderId="0" xfId="0" applyNumberFormat="1" applyFont="1"/>
    <xf numFmtId="2" fontId="14" fillId="4" borderId="1" xfId="0" applyNumberFormat="1" applyFont="1" applyFill="1" applyBorder="1"/>
    <xf numFmtId="169" fontId="16" fillId="3" borderId="2" xfId="2" applyNumberFormat="1" applyFont="1" applyFill="1" applyBorder="1" applyAlignment="1">
      <alignment horizontal="center"/>
    </xf>
    <xf numFmtId="0" fontId="11" fillId="5" borderId="3" xfId="0" applyFont="1" applyFill="1" applyBorder="1"/>
    <xf numFmtId="168" fontId="12" fillId="5" borderId="4" xfId="0" applyNumberFormat="1" applyFont="1" applyFill="1" applyBorder="1"/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3" fontId="7" fillId="0" borderId="0" xfId="0" applyNumberFormat="1" applyFont="1"/>
    <xf numFmtId="3" fontId="13" fillId="0" borderId="0" xfId="0" applyNumberFormat="1" applyFont="1"/>
    <xf numFmtId="168" fontId="13" fillId="0" borderId="0" xfId="0" applyNumberFormat="1" applyFont="1"/>
    <xf numFmtId="4" fontId="7" fillId="0" borderId="0" xfId="0" applyNumberFormat="1" applyFont="1"/>
    <xf numFmtId="4" fontId="13" fillId="0" borderId="0" xfId="0" applyNumberFormat="1" applyFont="1"/>
    <xf numFmtId="168" fontId="7" fillId="0" borderId="0" xfId="0" applyNumberFormat="1" applyFont="1"/>
    <xf numFmtId="168" fontId="13" fillId="0" borderId="1" xfId="0" applyNumberFormat="1" applyFont="1" applyBorder="1"/>
    <xf numFmtId="4" fontId="7" fillId="0" borderId="1" xfId="0" applyNumberFormat="1" applyFont="1" applyBorder="1"/>
    <xf numFmtId="168" fontId="7" fillId="0" borderId="1" xfId="0" applyNumberFormat="1" applyFont="1" applyBorder="1"/>
    <xf numFmtId="4" fontId="13" fillId="0" borderId="1" xfId="0" applyNumberFormat="1" applyFont="1" applyBorder="1"/>
    <xf numFmtId="3" fontId="12" fillId="0" borderId="0" xfId="0" applyNumberFormat="1" applyFont="1"/>
    <xf numFmtId="168" fontId="12" fillId="0" borderId="0" xfId="0" applyNumberFormat="1" applyFont="1"/>
    <xf numFmtId="4" fontId="12" fillId="0" borderId="0" xfId="0" applyNumberFormat="1" applyFont="1"/>
    <xf numFmtId="168" fontId="3" fillId="0" borderId="0" xfId="0" applyNumberFormat="1" applyFont="1"/>
    <xf numFmtId="0" fontId="14" fillId="0" borderId="0" xfId="3" applyFont="1"/>
    <xf numFmtId="170" fontId="19" fillId="0" borderId="5" xfId="4" applyNumberFormat="1" applyFont="1" applyBorder="1" applyAlignment="1">
      <alignment horizontal="center"/>
    </xf>
    <xf numFmtId="170" fontId="19" fillId="0" borderId="0" xfId="4" applyNumberFormat="1" applyFont="1" applyAlignment="1">
      <alignment horizontal="center"/>
    </xf>
    <xf numFmtId="0" fontId="14" fillId="0" borderId="0" xfId="0" applyFont="1"/>
    <xf numFmtId="0" fontId="20" fillId="0" borderId="0" xfId="3" applyFont="1"/>
    <xf numFmtId="5" fontId="21" fillId="0" borderId="5" xfId="2" applyNumberFormat="1" applyFont="1" applyBorder="1"/>
    <xf numFmtId="5" fontId="21" fillId="0" borderId="0" xfId="2" applyNumberFormat="1" applyFont="1"/>
    <xf numFmtId="0" fontId="22" fillId="0" borderId="0" xfId="3" applyFont="1" applyAlignment="1">
      <alignment horizontal="left" indent="1"/>
    </xf>
    <xf numFmtId="168" fontId="14" fillId="0" borderId="5" xfId="3" applyNumberFormat="1" applyFont="1" applyBorder="1" applyAlignment="1">
      <alignment horizontal="right"/>
    </xf>
    <xf numFmtId="168" fontId="23" fillId="0" borderId="0" xfId="3" applyNumberFormat="1" applyFont="1" applyAlignment="1">
      <alignment horizontal="right"/>
    </xf>
    <xf numFmtId="165" fontId="14" fillId="0" borderId="5" xfId="2" applyNumberFormat="1" applyFont="1" applyBorder="1"/>
    <xf numFmtId="165" fontId="14" fillId="0" borderId="0" xfId="2" applyNumberFormat="1" applyFont="1"/>
    <xf numFmtId="37" fontId="8" fillId="0" borderId="6" xfId="2" applyNumberFormat="1" applyFont="1" applyBorder="1"/>
    <xf numFmtId="37" fontId="8" fillId="0" borderId="1" xfId="2" applyNumberFormat="1" applyFont="1" applyBorder="1"/>
    <xf numFmtId="171" fontId="12" fillId="0" borderId="5" xfId="2" applyNumberFormat="1" applyFont="1" applyBorder="1"/>
    <xf numFmtId="171" fontId="12" fillId="0" borderId="0" xfId="2" applyNumberFormat="1" applyFont="1"/>
    <xf numFmtId="167" fontId="23" fillId="0" borderId="5" xfId="2" applyNumberFormat="1" applyFont="1" applyBorder="1"/>
    <xf numFmtId="167" fontId="23" fillId="0" borderId="0" xfId="2" applyNumberFormat="1" applyFont="1"/>
    <xf numFmtId="167" fontId="14" fillId="0" borderId="0" xfId="2" applyNumberFormat="1" applyFont="1"/>
    <xf numFmtId="37" fontId="8" fillId="0" borderId="5" xfId="2" applyNumberFormat="1" applyFont="1" applyBorder="1"/>
    <xf numFmtId="37" fontId="8" fillId="0" borderId="0" xfId="2" applyNumberFormat="1" applyFont="1"/>
    <xf numFmtId="37" fontId="13" fillId="0" borderId="5" xfId="2" applyNumberFormat="1" applyFont="1" applyBorder="1"/>
    <xf numFmtId="37" fontId="13" fillId="0" borderId="0" xfId="2" applyNumberFormat="1" applyFont="1"/>
    <xf numFmtId="5" fontId="12" fillId="0" borderId="7" xfId="2" applyNumberFormat="1" applyFont="1" applyBorder="1"/>
    <xf numFmtId="5" fontId="12" fillId="0" borderId="8" xfId="2" applyNumberFormat="1" applyFont="1" applyBorder="1"/>
    <xf numFmtId="167" fontId="23" fillId="0" borderId="0" xfId="2" applyNumberFormat="1" applyFont="1" applyBorder="1"/>
    <xf numFmtId="5" fontId="12" fillId="0" borderId="5" xfId="2" applyNumberFormat="1" applyFont="1" applyBorder="1"/>
    <xf numFmtId="5" fontId="12" fillId="0" borderId="0" xfId="2" applyNumberFormat="1" applyFont="1"/>
    <xf numFmtId="167" fontId="13" fillId="0" borderId="5" xfId="2" applyNumberFormat="1" applyFont="1" applyBorder="1"/>
    <xf numFmtId="167" fontId="13" fillId="0" borderId="0" xfId="2" applyNumberFormat="1" applyFont="1"/>
    <xf numFmtId="37" fontId="13" fillId="0" borderId="6" xfId="2" applyNumberFormat="1" applyFont="1" applyBorder="1"/>
    <xf numFmtId="37" fontId="13" fillId="0" borderId="1" xfId="2" applyNumberFormat="1" applyFont="1" applyBorder="1"/>
    <xf numFmtId="37" fontId="8" fillId="0" borderId="0" xfId="2" applyNumberFormat="1" applyFont="1" applyBorder="1"/>
    <xf numFmtId="172" fontId="7" fillId="0" borderId="5" xfId="2" applyNumberFormat="1" applyFont="1" applyBorder="1"/>
    <xf numFmtId="172" fontId="13" fillId="0" borderId="0" xfId="2" applyNumberFormat="1" applyFont="1"/>
    <xf numFmtId="2" fontId="13" fillId="0" borderId="0" xfId="4" applyNumberFormat="1" applyFont="1"/>
    <xf numFmtId="5" fontId="12" fillId="0" borderId="0" xfId="4" applyNumberFormat="1" applyFont="1"/>
    <xf numFmtId="165" fontId="14" fillId="0" borderId="0" xfId="2" applyNumberFormat="1" applyFont="1" applyBorder="1"/>
    <xf numFmtId="173" fontId="12" fillId="0" borderId="0" xfId="4" applyNumberFormat="1" applyFont="1"/>
    <xf numFmtId="168" fontId="14" fillId="0" borderId="0" xfId="3" applyNumberFormat="1" applyFont="1" applyAlignment="1">
      <alignment horizontal="center"/>
    </xf>
    <xf numFmtId="171" fontId="12" fillId="0" borderId="0" xfId="2" applyNumberFormat="1" applyFont="1" applyBorder="1"/>
    <xf numFmtId="0" fontId="14" fillId="0" borderId="0" xfId="3" applyFont="1" applyAlignment="1">
      <alignment horizontal="left" indent="1"/>
    </xf>
    <xf numFmtId="3" fontId="13" fillId="0" borderId="0" xfId="4" applyNumberFormat="1" applyFont="1"/>
    <xf numFmtId="174" fontId="20" fillId="0" borderId="0" xfId="4" applyNumberFormat="1" applyFont="1"/>
    <xf numFmtId="0" fontId="14" fillId="0" borderId="0" xfId="4" applyFont="1"/>
    <xf numFmtId="175" fontId="20" fillId="0" borderId="0" xfId="3" applyNumberFormat="1" applyFont="1" applyAlignment="1">
      <alignment horizontal="centerContinuous"/>
    </xf>
    <xf numFmtId="175" fontId="24" fillId="0" borderId="0" xfId="3" applyNumberFormat="1" applyFont="1" applyAlignment="1">
      <alignment horizontal="centerContinuous"/>
    </xf>
    <xf numFmtId="168" fontId="7" fillId="0" borderId="0" xfId="3" applyNumberFormat="1" applyFont="1" applyAlignment="1">
      <alignment horizontal="center"/>
    </xf>
    <xf numFmtId="171" fontId="14" fillId="0" borderId="5" xfId="3" applyNumberFormat="1" applyFont="1" applyBorder="1" applyAlignment="1">
      <alignment horizontal="right"/>
    </xf>
    <xf numFmtId="171" fontId="13" fillId="0" borderId="0" xfId="3" applyNumberFormat="1" applyFont="1" applyAlignment="1">
      <alignment horizontal="right"/>
    </xf>
    <xf numFmtId="171" fontId="14" fillId="0" borderId="5" xfId="2" applyNumberFormat="1" applyFont="1" applyBorder="1"/>
    <xf numFmtId="171" fontId="14" fillId="0" borderId="0" xfId="2" applyNumberFormat="1" applyFont="1"/>
    <xf numFmtId="37" fontId="13" fillId="0" borderId="0" xfId="2" applyNumberFormat="1" applyFont="1" applyBorder="1"/>
    <xf numFmtId="168" fontId="13" fillId="0" borderId="0" xfId="3" applyNumberFormat="1" applyFont="1" applyAlignment="1">
      <alignment horizontal="center"/>
    </xf>
    <xf numFmtId="37" fontId="13" fillId="0" borderId="9" xfId="2" applyNumberFormat="1" applyFont="1" applyBorder="1"/>
    <xf numFmtId="37" fontId="13" fillId="0" borderId="10" xfId="2" applyNumberFormat="1" applyFont="1" applyBorder="1"/>
    <xf numFmtId="167" fontId="6" fillId="0" borderId="0" xfId="0" applyNumberFormat="1" applyFont="1"/>
    <xf numFmtId="167" fontId="14" fillId="0" borderId="5" xfId="2" applyNumberFormat="1" applyFont="1" applyBorder="1"/>
    <xf numFmtId="5" fontId="20" fillId="0" borderId="5" xfId="2" applyNumberFormat="1" applyFont="1" applyBorder="1"/>
    <xf numFmtId="5" fontId="20" fillId="0" borderId="0" xfId="2" applyNumberFormat="1" applyFont="1"/>
    <xf numFmtId="172" fontId="13" fillId="0" borderId="5" xfId="2" applyNumberFormat="1" applyFont="1" applyBorder="1"/>
    <xf numFmtId="2" fontId="13" fillId="0" borderId="5" xfId="4" applyNumberFormat="1" applyFont="1" applyBorder="1"/>
    <xf numFmtId="171" fontId="13" fillId="0" borderId="0" xfId="2" applyNumberFormat="1" applyFont="1" applyBorder="1"/>
    <xf numFmtId="167" fontId="14" fillId="0" borderId="0" xfId="4" applyNumberFormat="1" applyFont="1"/>
    <xf numFmtId="171" fontId="13" fillId="0" borderId="1" xfId="2" applyNumberFormat="1" applyFont="1" applyBorder="1"/>
    <xf numFmtId="167" fontId="14" fillId="0" borderId="1" xfId="4" applyNumberFormat="1" applyFont="1" applyBorder="1"/>
    <xf numFmtId="171" fontId="12" fillId="5" borderId="4" xfId="0" applyNumberFormat="1" applyFont="1" applyFill="1" applyBorder="1"/>
    <xf numFmtId="0" fontId="6" fillId="0" borderId="0" xfId="0" applyFont="1" applyAlignment="1">
      <alignment horizontal="left" indent="1"/>
    </xf>
    <xf numFmtId="176" fontId="13" fillId="0" borderId="0" xfId="0" applyNumberFormat="1" applyFont="1"/>
    <xf numFmtId="0" fontId="24" fillId="0" borderId="0" xfId="3" applyFont="1"/>
    <xf numFmtId="5" fontId="7" fillId="0" borderId="0" xfId="2" applyNumberFormat="1" applyFont="1" applyBorder="1"/>
    <xf numFmtId="177" fontId="7" fillId="0" borderId="0" xfId="4" applyNumberFormat="1" applyFont="1"/>
    <xf numFmtId="5" fontId="13" fillId="0" borderId="0" xfId="4" applyNumberFormat="1" applyFont="1"/>
    <xf numFmtId="37" fontId="7" fillId="0" borderId="0" xfId="2" applyNumberFormat="1" applyFont="1" applyBorder="1"/>
    <xf numFmtId="37" fontId="13" fillId="0" borderId="0" xfId="4" applyNumberFormat="1" applyFont="1"/>
    <xf numFmtId="37" fontId="7" fillId="0" borderId="1" xfId="2" applyNumberFormat="1" applyFont="1" applyBorder="1"/>
    <xf numFmtId="0" fontId="25" fillId="0" borderId="0" xfId="3" applyFont="1"/>
    <xf numFmtId="5" fontId="13" fillId="0" borderId="0" xfId="2" applyNumberFormat="1" applyFont="1" applyBorder="1"/>
    <xf numFmtId="0" fontId="18" fillId="0" borderId="0" xfId="3" applyFont="1"/>
    <xf numFmtId="5" fontId="13" fillId="0" borderId="0" xfId="0" applyNumberFormat="1" applyFont="1"/>
    <xf numFmtId="0" fontId="14" fillId="0" borderId="0" xfId="3" applyFont="1" applyAlignment="1">
      <alignment horizontal="left"/>
    </xf>
    <xf numFmtId="165" fontId="12" fillId="5" borderId="4" xfId="0" applyNumberFormat="1" applyFont="1" applyFill="1" applyBorder="1"/>
    <xf numFmtId="167" fontId="23" fillId="0" borderId="0" xfId="0" applyNumberFormat="1" applyFont="1"/>
    <xf numFmtId="0" fontId="26" fillId="0" borderId="0" xfId="0" applyFont="1"/>
    <xf numFmtId="0" fontId="11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71" fontId="5" fillId="0" borderId="11" xfId="0" applyNumberFormat="1" applyFont="1" applyBorder="1"/>
    <xf numFmtId="167" fontId="11" fillId="0" borderId="1" xfId="0" applyNumberFormat="1" applyFont="1" applyBorder="1" applyAlignment="1">
      <alignment horizontal="center"/>
    </xf>
    <xf numFmtId="167" fontId="16" fillId="0" borderId="1" xfId="0" applyNumberFormat="1" applyFont="1" applyBorder="1" applyAlignment="1">
      <alignment horizontal="center"/>
    </xf>
    <xf numFmtId="167" fontId="11" fillId="0" borderId="12" xfId="0" applyNumberFormat="1" applyFont="1" applyBorder="1"/>
    <xf numFmtId="171" fontId="13" fillId="0" borderId="0" xfId="2" applyNumberFormat="1" applyFont="1" applyBorder="1" applyAlignment="1">
      <alignment horizontal="center"/>
    </xf>
    <xf numFmtId="167" fontId="11" fillId="0" borderId="13" xfId="0" applyNumberFormat="1" applyFont="1" applyBorder="1"/>
    <xf numFmtId="5" fontId="9" fillId="6" borderId="14" xfId="0" applyNumberFormat="1" applyFont="1" applyFill="1" applyBorder="1" applyAlignment="1">
      <alignment horizontal="center"/>
    </xf>
    <xf numFmtId="171" fontId="9" fillId="6" borderId="8" xfId="2" applyNumberFormat="1" applyFont="1" applyFill="1" applyBorder="1" applyAlignment="1">
      <alignment horizontal="center"/>
    </xf>
    <xf numFmtId="171" fontId="9" fillId="6" borderId="12" xfId="2" applyNumberFormat="1" applyFont="1" applyFill="1" applyBorder="1" applyAlignment="1">
      <alignment horizontal="center"/>
    </xf>
    <xf numFmtId="167" fontId="16" fillId="0" borderId="13" xfId="0" applyNumberFormat="1" applyFont="1" applyBorder="1"/>
    <xf numFmtId="171" fontId="9" fillId="6" borderId="15" xfId="2" applyNumberFormat="1" applyFont="1" applyFill="1" applyBorder="1" applyAlignment="1">
      <alignment horizontal="center"/>
    </xf>
    <xf numFmtId="171" fontId="9" fillId="2" borderId="0" xfId="2" applyNumberFormat="1" applyFont="1" applyFill="1" applyBorder="1" applyAlignment="1">
      <alignment horizontal="center"/>
    </xf>
    <xf numFmtId="171" fontId="9" fillId="6" borderId="13" xfId="2" applyNumberFormat="1" applyFont="1" applyFill="1" applyBorder="1" applyAlignment="1">
      <alignment horizontal="center"/>
    </xf>
    <xf numFmtId="171" fontId="9" fillId="6" borderId="16" xfId="2" applyNumberFormat="1" applyFont="1" applyFill="1" applyBorder="1" applyAlignment="1">
      <alignment horizontal="center"/>
    </xf>
    <xf numFmtId="171" fontId="9" fillId="6" borderId="1" xfId="2" applyNumberFormat="1" applyFont="1" applyFill="1" applyBorder="1" applyAlignment="1">
      <alignment horizontal="center"/>
    </xf>
    <xf numFmtId="171" fontId="9" fillId="6" borderId="11" xfId="2" applyNumberFormat="1" applyFont="1" applyFill="1" applyBorder="1" applyAlignment="1">
      <alignment horizontal="center"/>
    </xf>
    <xf numFmtId="176" fontId="5" fillId="0" borderId="11" xfId="0" applyNumberFormat="1" applyFont="1" applyBorder="1"/>
    <xf numFmtId="178" fontId="13" fillId="0" borderId="0" xfId="2" applyNumberFormat="1" applyFont="1" applyBorder="1" applyAlignment="1">
      <alignment horizontal="center"/>
    </xf>
    <xf numFmtId="178" fontId="9" fillId="6" borderId="14" xfId="0" applyNumberFormat="1" applyFont="1" applyFill="1" applyBorder="1" applyAlignment="1">
      <alignment horizontal="center"/>
    </xf>
    <xf numFmtId="178" fontId="9" fillId="6" borderId="8" xfId="2" applyNumberFormat="1" applyFont="1" applyFill="1" applyBorder="1" applyAlignment="1">
      <alignment horizontal="center"/>
    </xf>
    <xf numFmtId="178" fontId="9" fillId="6" borderId="12" xfId="2" applyNumberFormat="1" applyFont="1" applyFill="1" applyBorder="1" applyAlignment="1">
      <alignment horizontal="center"/>
    </xf>
    <xf numFmtId="178" fontId="9" fillId="6" borderId="15" xfId="2" applyNumberFormat="1" applyFont="1" applyFill="1" applyBorder="1" applyAlignment="1">
      <alignment horizontal="center"/>
    </xf>
    <xf numFmtId="178" fontId="9" fillId="2" borderId="0" xfId="2" applyNumberFormat="1" applyFont="1" applyFill="1" applyBorder="1" applyAlignment="1">
      <alignment horizontal="center"/>
    </xf>
    <xf numFmtId="178" fontId="9" fillId="6" borderId="13" xfId="2" applyNumberFormat="1" applyFont="1" applyFill="1" applyBorder="1" applyAlignment="1">
      <alignment horizontal="center"/>
    </xf>
    <xf numFmtId="178" fontId="9" fillId="6" borderId="16" xfId="2" applyNumberFormat="1" applyFont="1" applyFill="1" applyBorder="1" applyAlignment="1">
      <alignment horizontal="center"/>
    </xf>
    <xf numFmtId="178" fontId="9" fillId="6" borderId="1" xfId="2" applyNumberFormat="1" applyFont="1" applyFill="1" applyBorder="1" applyAlignment="1">
      <alignment horizontal="center"/>
    </xf>
    <xf numFmtId="178" fontId="9" fillId="6" borderId="11" xfId="2" applyNumberFormat="1" applyFont="1" applyFill="1" applyBorder="1" applyAlignment="1">
      <alignment horizontal="center"/>
    </xf>
    <xf numFmtId="165" fontId="13" fillId="0" borderId="0" xfId="2" applyNumberFormat="1" applyFont="1" applyBorder="1" applyAlignment="1">
      <alignment horizontal="center"/>
    </xf>
    <xf numFmtId="165" fontId="9" fillId="6" borderId="14" xfId="0" applyNumberFormat="1" applyFont="1" applyFill="1" applyBorder="1" applyAlignment="1">
      <alignment horizontal="center"/>
    </xf>
    <xf numFmtId="165" fontId="9" fillId="6" borderId="8" xfId="2" applyNumberFormat="1" applyFont="1" applyFill="1" applyBorder="1" applyAlignment="1">
      <alignment horizontal="center"/>
    </xf>
    <xf numFmtId="165" fontId="9" fillId="6" borderId="12" xfId="2" applyNumberFormat="1" applyFont="1" applyFill="1" applyBorder="1" applyAlignment="1">
      <alignment horizontal="center"/>
    </xf>
    <xf numFmtId="165" fontId="9" fillId="6" borderId="15" xfId="2" applyNumberFormat="1" applyFont="1" applyFill="1" applyBorder="1" applyAlignment="1">
      <alignment horizontal="center"/>
    </xf>
    <xf numFmtId="165" fontId="9" fillId="2" borderId="0" xfId="2" applyNumberFormat="1" applyFont="1" applyFill="1" applyBorder="1" applyAlignment="1">
      <alignment horizontal="center"/>
    </xf>
    <xf numFmtId="165" fontId="9" fillId="6" borderId="13" xfId="2" applyNumberFormat="1" applyFont="1" applyFill="1" applyBorder="1" applyAlignment="1">
      <alignment horizontal="center"/>
    </xf>
    <xf numFmtId="165" fontId="9" fillId="6" borderId="16" xfId="2" applyNumberFormat="1" applyFont="1" applyFill="1" applyBorder="1" applyAlignment="1">
      <alignment horizontal="center"/>
    </xf>
    <xf numFmtId="165" fontId="9" fillId="6" borderId="1" xfId="2" applyNumberFormat="1" applyFont="1" applyFill="1" applyBorder="1" applyAlignment="1">
      <alignment horizontal="center"/>
    </xf>
    <xf numFmtId="165" fontId="9" fillId="6" borderId="11" xfId="2" applyNumberFormat="1" applyFont="1" applyFill="1" applyBorder="1" applyAlignment="1">
      <alignment horizontal="center"/>
    </xf>
    <xf numFmtId="167" fontId="5" fillId="0" borderId="11" xfId="0" applyNumberFormat="1" applyFont="1" applyBorder="1"/>
    <xf numFmtId="167" fontId="13" fillId="0" borderId="0" xfId="2" applyNumberFormat="1" applyFont="1" applyBorder="1" applyAlignment="1">
      <alignment horizontal="center"/>
    </xf>
    <xf numFmtId="167" fontId="9" fillId="6" borderId="14" xfId="0" applyNumberFormat="1" applyFont="1" applyFill="1" applyBorder="1" applyAlignment="1">
      <alignment horizontal="center"/>
    </xf>
    <xf numFmtId="167" fontId="9" fillId="6" borderId="8" xfId="2" applyNumberFormat="1" applyFont="1" applyFill="1" applyBorder="1" applyAlignment="1">
      <alignment horizontal="center"/>
    </xf>
    <xf numFmtId="167" fontId="9" fillId="6" borderId="12" xfId="2" applyNumberFormat="1" applyFont="1" applyFill="1" applyBorder="1" applyAlignment="1">
      <alignment horizontal="center"/>
    </xf>
    <xf numFmtId="167" fontId="9" fillId="6" borderId="15" xfId="2" applyNumberFormat="1" applyFont="1" applyFill="1" applyBorder="1" applyAlignment="1">
      <alignment horizontal="center"/>
    </xf>
    <xf numFmtId="167" fontId="9" fillId="2" borderId="0" xfId="2" applyNumberFormat="1" applyFont="1" applyFill="1" applyBorder="1" applyAlignment="1">
      <alignment horizontal="center"/>
    </xf>
    <xf numFmtId="167" fontId="9" fillId="6" borderId="13" xfId="2" applyNumberFormat="1" applyFont="1" applyFill="1" applyBorder="1" applyAlignment="1">
      <alignment horizontal="center"/>
    </xf>
    <xf numFmtId="167" fontId="9" fillId="6" borderId="16" xfId="2" applyNumberFormat="1" applyFont="1" applyFill="1" applyBorder="1" applyAlignment="1">
      <alignment horizontal="center"/>
    </xf>
    <xf numFmtId="167" fontId="9" fillId="6" borderId="1" xfId="2" applyNumberFormat="1" applyFont="1" applyFill="1" applyBorder="1" applyAlignment="1">
      <alignment horizontal="center"/>
    </xf>
    <xf numFmtId="167" fontId="9" fillId="6" borderId="11" xfId="2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0" fontId="33" fillId="10" borderId="0" xfId="0" applyFont="1" applyFill="1" applyAlignment="1">
      <alignment horizontal="centerContinuous"/>
    </xf>
    <xf numFmtId="0" fontId="0" fillId="10" borderId="0" xfId="0" applyFill="1" applyAlignment="1">
      <alignment horizontal="centerContinuous"/>
    </xf>
    <xf numFmtId="0" fontId="0" fillId="0" borderId="0" xfId="0" applyAlignment="1">
      <alignment horizontal="centerContinuous"/>
    </xf>
    <xf numFmtId="0" fontId="34" fillId="0" borderId="0" xfId="7" applyFont="1"/>
    <xf numFmtId="0" fontId="0" fillId="0" borderId="0" xfId="0" applyAlignment="1">
      <alignment horizontal="center"/>
    </xf>
    <xf numFmtId="0" fontId="35" fillId="7" borderId="17" xfId="5" applyFont="1" applyAlignment="1">
      <alignment horizontal="center"/>
    </xf>
    <xf numFmtId="14" fontId="36" fillId="7" borderId="17" xfId="5" applyNumberFormat="1" applyFont="1" applyAlignment="1">
      <alignment horizontal="center"/>
    </xf>
    <xf numFmtId="0" fontId="35" fillId="0" borderId="0" xfId="0" applyFont="1"/>
    <xf numFmtId="0" fontId="37" fillId="10" borderId="0" xfId="0" applyFont="1" applyFill="1" applyAlignment="1">
      <alignment horizontal="centerContinuous"/>
    </xf>
    <xf numFmtId="0" fontId="38" fillId="10" borderId="0" xfId="0" applyFont="1" applyFill="1" applyAlignment="1">
      <alignment horizontal="centerContinuous"/>
    </xf>
    <xf numFmtId="0" fontId="38" fillId="0" borderId="0" xfId="0" applyFont="1" applyAlignment="1">
      <alignment horizontal="centerContinuous"/>
    </xf>
    <xf numFmtId="179" fontId="0" fillId="0" borderId="1" xfId="0" applyNumberFormat="1" applyBorder="1"/>
    <xf numFmtId="179" fontId="0" fillId="0" borderId="11" xfId="0" applyNumberFormat="1" applyBorder="1"/>
    <xf numFmtId="179" fontId="0" fillId="0" borderId="0" xfId="0" applyNumberFormat="1"/>
    <xf numFmtId="180" fontId="35" fillId="0" borderId="0" xfId="0" applyNumberFormat="1" applyFont="1"/>
    <xf numFmtId="180" fontId="35" fillId="0" borderId="13" xfId="0" applyNumberFormat="1" applyFont="1" applyBorder="1"/>
    <xf numFmtId="181" fontId="0" fillId="0" borderId="0" xfId="0" applyNumberFormat="1"/>
    <xf numFmtId="182" fontId="0" fillId="0" borderId="0" xfId="0" applyNumberFormat="1"/>
    <xf numFmtId="0" fontId="0" fillId="0" borderId="0" xfId="0" applyAlignment="1">
      <alignment horizontal="left" indent="2"/>
    </xf>
    <xf numFmtId="0" fontId="0" fillId="11" borderId="0" xfId="0" applyFill="1"/>
    <xf numFmtId="183" fontId="35" fillId="0" borderId="0" xfId="0" applyNumberFormat="1" applyFont="1"/>
    <xf numFmtId="180" fontId="35" fillId="0" borderId="1" xfId="0" applyNumberFormat="1" applyFont="1" applyBorder="1"/>
    <xf numFmtId="180" fontId="35" fillId="0" borderId="11" xfId="0" applyNumberFormat="1" applyFont="1" applyBorder="1"/>
    <xf numFmtId="181" fontId="0" fillId="0" borderId="1" xfId="0" applyNumberFormat="1" applyBorder="1"/>
    <xf numFmtId="0" fontId="2" fillId="0" borderId="0" xfId="0" applyFont="1"/>
    <xf numFmtId="180" fontId="2" fillId="0" borderId="0" xfId="0" applyNumberFormat="1" applyFont="1"/>
    <xf numFmtId="181" fontId="2" fillId="0" borderId="0" xfId="0" applyNumberFormat="1" applyFont="1"/>
    <xf numFmtId="184" fontId="0" fillId="0" borderId="0" xfId="0" applyNumberFormat="1"/>
    <xf numFmtId="184" fontId="0" fillId="0" borderId="13" xfId="0" applyNumberFormat="1" applyBorder="1"/>
    <xf numFmtId="0" fontId="0" fillId="0" borderId="13" xfId="0" applyBorder="1"/>
    <xf numFmtId="0" fontId="35" fillId="0" borderId="13" xfId="0" applyFont="1" applyBorder="1"/>
    <xf numFmtId="180" fontId="2" fillId="0" borderId="8" xfId="0" applyNumberFormat="1" applyFont="1" applyBorder="1"/>
    <xf numFmtId="180" fontId="2" fillId="0" borderId="12" xfId="0" applyNumberFormat="1" applyFont="1" applyBorder="1"/>
    <xf numFmtId="181" fontId="2" fillId="0" borderId="8" xfId="0" applyNumberFormat="1" applyFont="1" applyBorder="1"/>
    <xf numFmtId="180" fontId="2" fillId="0" borderId="0" xfId="6" applyNumberFormat="1" applyFont="1" applyFill="1" applyBorder="1"/>
    <xf numFmtId="180" fontId="2" fillId="0" borderId="13" xfId="6" applyNumberFormat="1" applyFont="1" applyFill="1" applyBorder="1"/>
    <xf numFmtId="181" fontId="2" fillId="0" borderId="0" xfId="6" applyNumberFormat="1" applyFont="1" applyFill="1" applyBorder="1"/>
    <xf numFmtId="0" fontId="39" fillId="0" borderId="0" xfId="0" applyFont="1"/>
    <xf numFmtId="180" fontId="0" fillId="0" borderId="0" xfId="0" applyNumberFormat="1"/>
    <xf numFmtId="180" fontId="0" fillId="0" borderId="13" xfId="0" applyNumberFormat="1" applyBorder="1"/>
    <xf numFmtId="180" fontId="2" fillId="0" borderId="14" xfId="0" applyNumberFormat="1" applyFont="1" applyBorder="1"/>
    <xf numFmtId="44" fontId="2" fillId="8" borderId="2" xfId="6" applyNumberFormat="1" applyFont="1" applyBorder="1"/>
    <xf numFmtId="44" fontId="2" fillId="8" borderId="4" xfId="6" applyNumberFormat="1" applyFont="1" applyBorder="1"/>
    <xf numFmtId="184" fontId="2" fillId="0" borderId="0" xfId="8" applyNumberFormat="1" applyFont="1" applyFill="1" applyBorder="1"/>
    <xf numFmtId="0" fontId="0" fillId="11" borderId="13" xfId="0" applyFill="1" applyBorder="1"/>
    <xf numFmtId="185" fontId="35" fillId="7" borderId="2" xfId="5" applyNumberFormat="1" applyFont="1" applyBorder="1" applyAlignment="1">
      <alignment horizontal="center"/>
    </xf>
    <xf numFmtId="184" fontId="0" fillId="0" borderId="0" xfId="0" applyNumberFormat="1" applyAlignment="1">
      <alignment horizontal="center"/>
    </xf>
    <xf numFmtId="184" fontId="0" fillId="11" borderId="0" xfId="0" applyNumberFormat="1" applyFill="1"/>
    <xf numFmtId="184" fontId="0" fillId="11" borderId="13" xfId="0" applyNumberFormat="1" applyFill="1" applyBorder="1"/>
    <xf numFmtId="185" fontId="35" fillId="7" borderId="4" xfId="5" applyNumberFormat="1" applyFont="1" applyBorder="1" applyAlignment="1">
      <alignment horizontal="center"/>
    </xf>
    <xf numFmtId="184" fontId="35" fillId="0" borderId="0" xfId="0" applyNumberFormat="1" applyFont="1" applyAlignment="1">
      <alignment horizontal="center"/>
    </xf>
    <xf numFmtId="181" fontId="0" fillId="0" borderId="13" xfId="0" applyNumberFormat="1" applyBorder="1"/>
    <xf numFmtId="186" fontId="0" fillId="0" borderId="0" xfId="0" applyNumberFormat="1"/>
    <xf numFmtId="0" fontId="0" fillId="0" borderId="0" xfId="0" applyAlignment="1">
      <alignment horizontal="left" indent="1"/>
    </xf>
    <xf numFmtId="181" fontId="35" fillId="0" borderId="0" xfId="0" applyNumberFormat="1" applyFont="1"/>
    <xf numFmtId="181" fontId="35" fillId="0" borderId="13" xfId="0" applyNumberFormat="1" applyFont="1" applyBorder="1"/>
    <xf numFmtId="181" fontId="2" fillId="0" borderId="12" xfId="0" applyNumberFormat="1" applyFont="1" applyBorder="1"/>
    <xf numFmtId="181" fontId="35" fillId="0" borderId="13" xfId="0" applyNumberFormat="1" applyFont="1" applyBorder="1" applyAlignment="1">
      <alignment vertical="top"/>
    </xf>
    <xf numFmtId="181" fontId="35" fillId="0" borderId="0" xfId="0" applyNumberFormat="1" applyFont="1" applyAlignment="1">
      <alignment vertical="top"/>
    </xf>
    <xf numFmtId="0" fontId="40" fillId="0" borderId="0" xfId="0" applyFont="1" applyAlignment="1">
      <alignment vertical="top"/>
    </xf>
    <xf numFmtId="0" fontId="41" fillId="0" borderId="0" xfId="0" applyFont="1" applyAlignment="1">
      <alignment vertical="top"/>
    </xf>
    <xf numFmtId="181" fontId="41" fillId="0" borderId="8" xfId="0" applyNumberFormat="1" applyFont="1" applyBorder="1" applyAlignment="1">
      <alignment vertical="top"/>
    </xf>
    <xf numFmtId="181" fontId="41" fillId="0" borderId="12" xfId="0" applyNumberFormat="1" applyFont="1" applyBorder="1" applyAlignment="1">
      <alignment vertical="top"/>
    </xf>
    <xf numFmtId="0" fontId="42" fillId="0" borderId="0" xfId="0" applyFont="1" applyAlignment="1">
      <alignment vertical="top"/>
    </xf>
    <xf numFmtId="181" fontId="2" fillId="0" borderId="10" xfId="0" applyNumberFormat="1" applyFont="1" applyBorder="1"/>
    <xf numFmtId="181" fontId="2" fillId="0" borderId="4" xfId="0" applyNumberFormat="1" applyFont="1" applyBorder="1"/>
    <xf numFmtId="186" fontId="2" fillId="0" borderId="10" xfId="0" applyNumberFormat="1" applyFont="1" applyBorder="1"/>
    <xf numFmtId="186" fontId="2" fillId="0" borderId="8" xfId="0" applyNumberFormat="1" applyFont="1" applyBorder="1"/>
    <xf numFmtId="186" fontId="32" fillId="10" borderId="0" xfId="0" applyNumberFormat="1" applyFont="1" applyFill="1" applyAlignment="1">
      <alignment horizontal="centerContinuous"/>
    </xf>
    <xf numFmtId="0" fontId="32" fillId="10" borderId="0" xfId="0" applyFont="1" applyFill="1" applyAlignment="1">
      <alignment horizontal="centerContinuous"/>
    </xf>
    <xf numFmtId="0" fontId="40" fillId="0" borderId="0" xfId="0" applyFont="1"/>
    <xf numFmtId="186" fontId="0" fillId="0" borderId="13" xfId="0" applyNumberFormat="1" applyBorder="1"/>
    <xf numFmtId="186" fontId="0" fillId="0" borderId="11" xfId="0" applyNumberFormat="1" applyBorder="1"/>
    <xf numFmtId="186" fontId="0" fillId="0" borderId="8" xfId="0" applyNumberFormat="1" applyBorder="1"/>
    <xf numFmtId="186" fontId="0" fillId="0" borderId="12" xfId="0" applyNumberFormat="1" applyBorder="1"/>
    <xf numFmtId="0" fontId="41" fillId="0" borderId="0" xfId="0" applyFont="1"/>
    <xf numFmtId="0" fontId="0" fillId="11" borderId="8" xfId="0" applyFill="1" applyBorder="1"/>
    <xf numFmtId="186" fontId="2" fillId="0" borderId="12" xfId="0" applyNumberFormat="1" applyFont="1" applyBorder="1"/>
    <xf numFmtId="0" fontId="42" fillId="0" borderId="0" xfId="0" applyFont="1"/>
    <xf numFmtId="1" fontId="0" fillId="0" borderId="0" xfId="0" applyNumberFormat="1"/>
    <xf numFmtId="1" fontId="0" fillId="0" borderId="13" xfId="0" applyNumberFormat="1" applyBorder="1"/>
    <xf numFmtId="188" fontId="0" fillId="0" borderId="0" xfId="0" applyNumberFormat="1"/>
    <xf numFmtId="188" fontId="0" fillId="0" borderId="13" xfId="0" applyNumberFormat="1" applyBorder="1"/>
    <xf numFmtId="188" fontId="35" fillId="0" borderId="0" xfId="0" applyNumberFormat="1" applyFont="1"/>
    <xf numFmtId="10" fontId="0" fillId="0" borderId="0" xfId="0" applyNumberFormat="1"/>
    <xf numFmtId="10" fontId="0" fillId="0" borderId="13" xfId="0" applyNumberFormat="1" applyBorder="1"/>
    <xf numFmtId="10" fontId="35" fillId="0" borderId="0" xfId="0" applyNumberFormat="1" applyFont="1"/>
    <xf numFmtId="186" fontId="0" fillId="11" borderId="0" xfId="0" applyNumberFormat="1" applyFill="1"/>
    <xf numFmtId="186" fontId="0" fillId="11" borderId="8" xfId="0" applyNumberFormat="1" applyFill="1" applyBorder="1"/>
    <xf numFmtId="189" fontId="0" fillId="0" borderId="13" xfId="0" applyNumberFormat="1" applyBorder="1"/>
    <xf numFmtId="189" fontId="35" fillId="0" borderId="0" xfId="0" applyNumberFormat="1" applyFont="1"/>
    <xf numFmtId="189" fontId="35" fillId="11" borderId="0" xfId="0" applyNumberFormat="1" applyFont="1" applyFill="1"/>
    <xf numFmtId="186" fontId="0" fillId="11" borderId="12" xfId="0" applyNumberFormat="1" applyFill="1" applyBorder="1"/>
    <xf numFmtId="181" fontId="40" fillId="0" borderId="0" xfId="0" applyNumberFormat="1" applyFont="1" applyAlignment="1">
      <alignment vertical="top"/>
    </xf>
    <xf numFmtId="186" fontId="40" fillId="11" borderId="0" xfId="0" applyNumberFormat="1" applyFont="1" applyFill="1" applyAlignment="1">
      <alignment vertical="top"/>
    </xf>
    <xf numFmtId="186" fontId="40" fillId="11" borderId="13" xfId="0" applyNumberFormat="1" applyFont="1" applyFill="1" applyBorder="1" applyAlignment="1">
      <alignment vertical="top"/>
    </xf>
    <xf numFmtId="186" fontId="0" fillId="11" borderId="13" xfId="0" applyNumberFormat="1" applyFill="1" applyBorder="1"/>
    <xf numFmtId="186" fontId="40" fillId="11" borderId="8" xfId="0" applyNumberFormat="1" applyFont="1" applyFill="1" applyBorder="1" applyAlignment="1">
      <alignment vertical="top"/>
    </xf>
    <xf numFmtId="186" fontId="40" fillId="11" borderId="12" xfId="0" applyNumberFormat="1" applyFont="1" applyFill="1" applyBorder="1" applyAlignment="1">
      <alignment vertical="top"/>
    </xf>
    <xf numFmtId="181" fontId="2" fillId="0" borderId="14" xfId="0" applyNumberFormat="1" applyFont="1" applyBorder="1"/>
    <xf numFmtId="181" fontId="0" fillId="0" borderId="14" xfId="0" applyNumberFormat="1" applyBorder="1"/>
    <xf numFmtId="181" fontId="0" fillId="0" borderId="8" xfId="0" applyNumberFormat="1" applyBorder="1"/>
    <xf numFmtId="186" fontId="35" fillId="11" borderId="0" xfId="0" applyNumberFormat="1" applyFont="1" applyFill="1"/>
    <xf numFmtId="186" fontId="35" fillId="11" borderId="13" xfId="0" applyNumberFormat="1" applyFont="1" applyFill="1" applyBorder="1"/>
    <xf numFmtId="186" fontId="35" fillId="11" borderId="8" xfId="0" applyNumberFormat="1" applyFont="1" applyFill="1" applyBorder="1" applyAlignment="1">
      <alignment vertical="top"/>
    </xf>
    <xf numFmtId="186" fontId="35" fillId="11" borderId="12" xfId="0" applyNumberFormat="1" applyFont="1" applyFill="1" applyBorder="1" applyAlignment="1">
      <alignment vertical="top"/>
    </xf>
    <xf numFmtId="186" fontId="40" fillId="0" borderId="0" xfId="0" applyNumberFormat="1" applyFont="1" applyAlignment="1">
      <alignment vertical="top"/>
    </xf>
    <xf numFmtId="0" fontId="37" fillId="10" borderId="0" xfId="0" applyFont="1" applyFill="1" applyAlignment="1">
      <alignment horizontal="centerContinuous" vertical="top"/>
    </xf>
    <xf numFmtId="186" fontId="40" fillId="10" borderId="0" xfId="0" applyNumberFormat="1" applyFont="1" applyFill="1" applyAlignment="1">
      <alignment horizontal="centerContinuous" vertical="top"/>
    </xf>
    <xf numFmtId="186" fontId="0" fillId="10" borderId="0" xfId="0" applyNumberFormat="1" applyFill="1" applyAlignment="1">
      <alignment horizontal="centerContinuous"/>
    </xf>
    <xf numFmtId="0" fontId="43" fillId="0" borderId="0" xfId="0" applyFont="1"/>
    <xf numFmtId="186" fontId="40" fillId="0" borderId="13" xfId="0" applyNumberFormat="1" applyFont="1" applyBorder="1" applyAlignment="1">
      <alignment vertical="top"/>
    </xf>
    <xf numFmtId="189" fontId="40" fillId="0" borderId="0" xfId="0" applyNumberFormat="1" applyFont="1" applyAlignment="1">
      <alignment vertical="top"/>
    </xf>
    <xf numFmtId="189" fontId="40" fillId="0" borderId="13" xfId="0" applyNumberFormat="1" applyFont="1" applyBorder="1" applyAlignment="1">
      <alignment vertical="top"/>
    </xf>
    <xf numFmtId="186" fontId="35" fillId="0" borderId="0" xfId="0" applyNumberFormat="1" applyFont="1" applyAlignment="1">
      <alignment vertical="top"/>
    </xf>
    <xf numFmtId="186" fontId="35" fillId="0" borderId="13" xfId="0" applyNumberFormat="1" applyFont="1" applyBorder="1" applyAlignment="1">
      <alignment vertical="top"/>
    </xf>
    <xf numFmtId="181" fontId="40" fillId="0" borderId="13" xfId="0" applyNumberFormat="1" applyFont="1" applyBorder="1" applyAlignment="1">
      <alignment vertical="top"/>
    </xf>
    <xf numFmtId="44" fontId="35" fillId="0" borderId="2" xfId="0" applyNumberFormat="1" applyFont="1" applyBorder="1" applyAlignment="1">
      <alignment horizontal="center"/>
    </xf>
    <xf numFmtId="0" fontId="40" fillId="0" borderId="0" xfId="0" applyFont="1" applyAlignment="1">
      <alignment horizontal="left" indent="1"/>
    </xf>
    <xf numFmtId="0" fontId="0" fillId="11" borderId="12" xfId="0" applyFill="1" applyBorder="1"/>
    <xf numFmtId="181" fontId="35" fillId="0" borderId="12" xfId="0" applyNumberFormat="1" applyFont="1" applyBorder="1"/>
    <xf numFmtId="181" fontId="0" fillId="0" borderId="11" xfId="0" applyNumberFormat="1" applyBorder="1"/>
    <xf numFmtId="181" fontId="0" fillId="0" borderId="12" xfId="0" applyNumberFormat="1" applyBorder="1"/>
    <xf numFmtId="0" fontId="44" fillId="0" borderId="0" xfId="0" applyFont="1"/>
    <xf numFmtId="190" fontId="35" fillId="0" borderId="0" xfId="0" applyNumberFormat="1" applyFont="1"/>
    <xf numFmtId="190" fontId="35" fillId="0" borderId="13" xfId="0" applyNumberFormat="1" applyFont="1" applyBorder="1"/>
    <xf numFmtId="191" fontId="35" fillId="0" borderId="0" xfId="0" applyNumberFormat="1" applyFont="1"/>
    <xf numFmtId="191" fontId="0" fillId="0" borderId="0" xfId="0" applyNumberFormat="1"/>
    <xf numFmtId="44" fontId="0" fillId="0" borderId="0" xfId="0" applyNumberFormat="1"/>
    <xf numFmtId="0" fontId="35" fillId="0" borderId="8" xfId="0" applyFont="1" applyBorder="1"/>
    <xf numFmtId="0" fontId="35" fillId="0" borderId="12" xfId="0" applyFont="1" applyBorder="1"/>
    <xf numFmtId="44" fontId="2" fillId="0" borderId="8" xfId="0" applyNumberFormat="1" applyFont="1" applyBorder="1"/>
    <xf numFmtId="44" fontId="2" fillId="0" borderId="12" xfId="0" applyNumberFormat="1" applyFont="1" applyBorder="1"/>
    <xf numFmtId="44" fontId="2" fillId="0" borderId="0" xfId="0" applyNumberFormat="1" applyFont="1"/>
    <xf numFmtId="44" fontId="2" fillId="0" borderId="13" xfId="0" applyNumberFormat="1" applyFont="1" applyBorder="1"/>
    <xf numFmtId="0" fontId="2" fillId="0" borderId="0" xfId="0" applyFont="1" applyAlignment="1">
      <alignment horizontal="centerContinuous"/>
    </xf>
    <xf numFmtId="0" fontId="0" fillId="0" borderId="18" xfId="0" applyBorder="1" applyAlignment="1">
      <alignment horizontal="centerContinuous"/>
    </xf>
    <xf numFmtId="165" fontId="30" fillId="0" borderId="19" xfId="0" applyNumberFormat="1" applyFont="1" applyBorder="1" applyAlignment="1">
      <alignment horizontal="center"/>
    </xf>
    <xf numFmtId="168" fontId="35" fillId="0" borderId="20" xfId="0" applyNumberFormat="1" applyFont="1" applyBorder="1" applyAlignment="1">
      <alignment horizontal="center"/>
    </xf>
    <xf numFmtId="168" fontId="35" fillId="0" borderId="21" xfId="0" applyNumberFormat="1" applyFont="1" applyBorder="1" applyAlignment="1">
      <alignment horizontal="center"/>
    </xf>
    <xf numFmtId="168" fontId="35" fillId="0" borderId="22" xfId="0" applyNumberFormat="1" applyFont="1" applyBorder="1" applyAlignment="1">
      <alignment horizontal="center"/>
    </xf>
    <xf numFmtId="168" fontId="35" fillId="0" borderId="23" xfId="0" applyNumberFormat="1" applyFont="1" applyBorder="1" applyAlignment="1">
      <alignment horizontal="center"/>
    </xf>
    <xf numFmtId="165" fontId="0" fillId="0" borderId="24" xfId="0" applyNumberFormat="1" applyBorder="1" applyAlignment="1">
      <alignment horizontal="right" indent="2"/>
    </xf>
    <xf numFmtId="165" fontId="0" fillId="0" borderId="25" xfId="0" applyNumberFormat="1" applyBorder="1" applyAlignment="1">
      <alignment horizontal="right" indent="2"/>
    </xf>
    <xf numFmtId="165" fontId="0" fillId="0" borderId="26" xfId="0" applyNumberFormat="1" applyBorder="1" applyAlignment="1">
      <alignment horizontal="right" indent="2"/>
    </xf>
    <xf numFmtId="168" fontId="35" fillId="0" borderId="27" xfId="0" applyNumberFormat="1" applyFont="1" applyBorder="1" applyAlignment="1">
      <alignment horizontal="center"/>
    </xf>
    <xf numFmtId="4" fontId="0" fillId="0" borderId="28" xfId="0" applyNumberFormat="1" applyBorder="1" applyAlignment="1">
      <alignment horizontal="right" indent="2"/>
    </xf>
    <xf numFmtId="4" fontId="0" fillId="0" borderId="2" xfId="0" applyNumberFormat="1" applyBorder="1" applyAlignment="1">
      <alignment horizontal="right" indent="2"/>
    </xf>
    <xf numFmtId="4" fontId="0" fillId="0" borderId="29" xfId="0" applyNumberFormat="1" applyBorder="1" applyAlignment="1">
      <alignment horizontal="right" indent="2"/>
    </xf>
    <xf numFmtId="168" fontId="35" fillId="0" borderId="30" xfId="0" applyNumberFormat="1" applyFont="1" applyBorder="1" applyAlignment="1">
      <alignment horizontal="center"/>
    </xf>
    <xf numFmtId="4" fontId="0" fillId="0" borderId="31" xfId="0" applyNumberFormat="1" applyBorder="1" applyAlignment="1">
      <alignment horizontal="right" indent="2"/>
    </xf>
    <xf numFmtId="4" fontId="0" fillId="0" borderId="32" xfId="0" applyNumberFormat="1" applyBorder="1" applyAlignment="1">
      <alignment horizontal="right" indent="2"/>
    </xf>
    <xf numFmtId="4" fontId="0" fillId="0" borderId="33" xfId="0" applyNumberFormat="1" applyBorder="1" applyAlignment="1">
      <alignment horizontal="right" indent="2"/>
    </xf>
    <xf numFmtId="192" fontId="35" fillId="0" borderId="2" xfId="0" applyNumberFormat="1" applyFont="1" applyBorder="1" applyAlignment="1">
      <alignment horizontal="center"/>
    </xf>
    <xf numFmtId="0" fontId="40" fillId="0" borderId="0" xfId="0" applyFont="1" applyAlignment="1">
      <alignment horizontal="left"/>
    </xf>
    <xf numFmtId="165" fontId="7" fillId="0" borderId="2" xfId="0" applyNumberFormat="1" applyFont="1" applyBorder="1" applyAlignment="1">
      <alignment horizontal="center"/>
    </xf>
    <xf numFmtId="37" fontId="8" fillId="0" borderId="34" xfId="2" applyNumberFormat="1" applyFont="1" applyBorder="1"/>
    <xf numFmtId="165" fontId="14" fillId="0" borderId="7" xfId="2" applyNumberFormat="1" applyFont="1" applyBorder="1"/>
    <xf numFmtId="5" fontId="12" fillId="0" borderId="8" xfId="4" applyNumberFormat="1" applyFont="1" applyBorder="1"/>
    <xf numFmtId="3" fontId="7" fillId="0" borderId="1" xfId="0" applyNumberFormat="1" applyFont="1" applyBorder="1"/>
    <xf numFmtId="3" fontId="13" fillId="0" borderId="1" xfId="0" applyNumberFormat="1" applyFont="1" applyBorder="1"/>
    <xf numFmtId="165" fontId="12" fillId="0" borderId="0" xfId="2" applyNumberFormat="1" applyFont="1" applyBorder="1"/>
    <xf numFmtId="0" fontId="20" fillId="0" borderId="0" xfId="3" applyFont="1" applyAlignment="1">
      <alignment horizontal="left" indent="1"/>
    </xf>
    <xf numFmtId="5" fontId="20" fillId="0" borderId="8" xfId="4" applyNumberFormat="1" applyFont="1" applyBorder="1"/>
    <xf numFmtId="164" fontId="5" fillId="0" borderId="11" xfId="0" applyNumberFormat="1" applyFont="1" applyBorder="1"/>
    <xf numFmtId="180" fontId="35" fillId="0" borderId="8" xfId="0" applyNumberFormat="1" applyFont="1" applyBorder="1"/>
    <xf numFmtId="183" fontId="0" fillId="0" borderId="0" xfId="0" applyNumberFormat="1"/>
    <xf numFmtId="183" fontId="0" fillId="0" borderId="13" xfId="0" applyNumberFormat="1" applyBorder="1"/>
    <xf numFmtId="184" fontId="0" fillId="0" borderId="11" xfId="0" applyNumberFormat="1" applyBorder="1"/>
    <xf numFmtId="193" fontId="35" fillId="0" borderId="13" xfId="0" applyNumberFormat="1" applyFont="1" applyBorder="1"/>
    <xf numFmtId="3" fontId="35" fillId="0" borderId="0" xfId="0" applyNumberFormat="1" applyFont="1"/>
    <xf numFmtId="3" fontId="35" fillId="0" borderId="13" xfId="0" applyNumberFormat="1" applyFont="1" applyBorder="1"/>
    <xf numFmtId="187" fontId="2" fillId="12" borderId="0" xfId="0" applyNumberFormat="1" applyFont="1" applyFill="1"/>
    <xf numFmtId="187" fontId="2" fillId="12" borderId="13" xfId="0" applyNumberFormat="1" applyFont="1" applyFill="1" applyBorder="1"/>
    <xf numFmtId="1" fontId="35" fillId="0" borderId="0" xfId="0" applyNumberFormat="1" applyFont="1"/>
    <xf numFmtId="181" fontId="35" fillId="0" borderId="8" xfId="0" applyNumberFormat="1" applyFont="1" applyBorder="1"/>
    <xf numFmtId="194" fontId="35" fillId="7" borderId="17" xfId="5" applyNumberFormat="1" applyFont="1" applyAlignment="1">
      <alignment horizontal="center"/>
    </xf>
    <xf numFmtId="0" fontId="11" fillId="0" borderId="0" xfId="0" applyFont="1" applyAlignment="1">
      <alignment horizontal="right" vertical="center" textRotation="90"/>
    </xf>
    <xf numFmtId="0" fontId="2" fillId="0" borderId="0" xfId="0" applyFont="1" applyAlignment="1">
      <alignment horizontal="right" vertical="center" textRotation="90"/>
    </xf>
    <xf numFmtId="0" fontId="0" fillId="0" borderId="0" xfId="0" applyAlignment="1">
      <alignment horizontal="right" vertical="center" textRotation="90" wrapText="1"/>
    </xf>
    <xf numFmtId="0" fontId="0" fillId="0" borderId="0" xfId="0" applyAlignment="1">
      <alignment horizontal="right" vertical="center" textRotation="90"/>
    </xf>
  </cellXfs>
  <cellStyles count="9">
    <cellStyle name="40% - Accent1" xfId="8" builtinId="31"/>
    <cellStyle name="Calculation" xfId="6" builtinId="22"/>
    <cellStyle name="Explanatory Text" xfId="7" builtinId="53"/>
    <cellStyle name="Input" xfId="5" builtinId="20"/>
    <cellStyle name="Normal" xfId="0" builtinId="0"/>
    <cellStyle name="Normal 2" xfId="2" xr:uid="{70C6BA23-A59A-4A04-9741-0419E8EAFC68}"/>
    <cellStyle name="Normal 2 3" xfId="4" xr:uid="{90D4EA46-7870-4FAF-B1BA-1763B7B9DB8A}"/>
    <cellStyle name="Normal_Rite Aid" xfId="3" xr:uid="{D54195A5-4557-4AFD-B43A-58B3C9824E48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9</xdr:row>
          <xdr:rowOff>177800</xdr:rowOff>
        </xdr:from>
        <xdr:to>
          <xdr:col>3</xdr:col>
          <xdr:colOff>0</xdr:colOff>
          <xdr:row>11</xdr:row>
          <xdr:rowOff>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Reset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16"/>
  <sheetViews>
    <sheetView showGridLines="0" tabSelected="1" workbookViewId="0"/>
  </sheetViews>
  <sheetFormatPr baseColWidth="10" defaultColWidth="8.83203125" defaultRowHeight="15" x14ac:dyDescent="0.2"/>
  <cols>
    <col min="2" max="2" width="57.5" customWidth="1"/>
    <col min="3" max="3" width="13.1640625" bestFit="1" customWidth="1"/>
    <col min="4" max="4" width="13.5" bestFit="1" customWidth="1"/>
    <col min="5" max="5" width="13.5" customWidth="1"/>
    <col min="6" max="6" width="14" bestFit="1" customWidth="1"/>
    <col min="7" max="7" width="10.6640625" bestFit="1" customWidth="1"/>
    <col min="8" max="8" width="11.33203125" bestFit="1" customWidth="1"/>
    <col min="9" max="9" width="11.6640625" bestFit="1" customWidth="1"/>
  </cols>
  <sheetData>
    <row r="1" spans="1:10" x14ac:dyDescent="0.2">
      <c r="A1" s="1"/>
      <c r="B1" s="2"/>
      <c r="C1" s="2"/>
      <c r="D1" s="2"/>
      <c r="E1" s="2"/>
      <c r="F1" s="2"/>
      <c r="G1" s="2"/>
      <c r="H1" s="2"/>
      <c r="I1" s="2"/>
      <c r="J1" s="2"/>
    </row>
    <row r="2" spans="1:10" ht="25" x14ac:dyDescent="0.25">
      <c r="A2" s="3" t="s">
        <v>0</v>
      </c>
      <c r="B2" s="4" t="str">
        <f>"Discounted Cash Flow (DCF) Analysis for "&amp;C5</f>
        <v>Discounted Cash Flow (DCF) Analysis for Nvidia</v>
      </c>
      <c r="C2" s="5"/>
      <c r="D2" s="5"/>
      <c r="E2" s="5"/>
      <c r="F2" s="5"/>
      <c r="G2" s="5"/>
      <c r="H2" s="5"/>
      <c r="I2" s="5"/>
      <c r="J2" s="5"/>
    </row>
    <row r="3" spans="1:10" x14ac:dyDescent="0.2">
      <c r="A3" s="1"/>
      <c r="B3" s="6" t="s">
        <v>1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">
      <c r="A5" s="2"/>
      <c r="B5" s="2" t="s">
        <v>2</v>
      </c>
      <c r="C5" s="177" t="s">
        <v>3</v>
      </c>
      <c r="D5" s="2"/>
      <c r="E5" s="2"/>
      <c r="F5" s="2"/>
      <c r="G5" s="2"/>
      <c r="H5" s="2"/>
      <c r="I5" s="2"/>
      <c r="J5" s="2"/>
    </row>
    <row r="6" spans="1:10" x14ac:dyDescent="0.2">
      <c r="A6" s="2"/>
      <c r="B6" s="2" t="s">
        <v>4</v>
      </c>
      <c r="C6" s="177" t="s">
        <v>5</v>
      </c>
      <c r="D6" s="2"/>
      <c r="E6" s="2"/>
      <c r="F6" s="2"/>
      <c r="G6" s="2"/>
      <c r="H6" s="2"/>
      <c r="I6" s="2"/>
      <c r="J6" s="2"/>
    </row>
    <row r="7" spans="1:10" x14ac:dyDescent="0.2">
      <c r="A7" s="2"/>
      <c r="B7" s="2" t="s">
        <v>6</v>
      </c>
      <c r="C7" s="334">
        <v>485.09</v>
      </c>
      <c r="D7" s="2"/>
      <c r="E7" s="2"/>
      <c r="F7" s="2"/>
      <c r="G7" s="2"/>
      <c r="H7" s="2"/>
      <c r="I7" s="2"/>
      <c r="J7" s="2"/>
    </row>
    <row r="8" spans="1:10" x14ac:dyDescent="0.2">
      <c r="A8" s="2"/>
      <c r="B8" s="2" t="s">
        <v>7</v>
      </c>
      <c r="C8" s="178">
        <v>45173</v>
      </c>
      <c r="D8" s="2"/>
      <c r="E8" s="2"/>
      <c r="F8" s="2"/>
      <c r="G8" s="2"/>
      <c r="H8" s="2"/>
      <c r="I8" s="2"/>
      <c r="J8" s="2"/>
    </row>
    <row r="9" spans="1:10" x14ac:dyDescent="0.2">
      <c r="A9" s="2"/>
      <c r="B9" s="2" t="s">
        <v>8</v>
      </c>
      <c r="C9" s="178">
        <v>44955</v>
      </c>
      <c r="D9" s="2"/>
      <c r="E9" s="2"/>
      <c r="F9" s="2"/>
      <c r="G9" s="2"/>
      <c r="H9" s="2"/>
      <c r="I9" s="2"/>
      <c r="J9" s="2"/>
    </row>
    <row r="10" spans="1:10" x14ac:dyDescent="0.2">
      <c r="A10" s="2"/>
      <c r="B10" s="2" t="s">
        <v>9</v>
      </c>
      <c r="C10" s="178" t="str">
        <f>'P&amp;L'!C10</f>
        <v>Base Case</v>
      </c>
      <c r="D10" s="2" t="s">
        <v>10</v>
      </c>
      <c r="E10" s="2"/>
      <c r="F10" s="2"/>
      <c r="G10" s="2"/>
      <c r="H10" s="2"/>
      <c r="I10" s="2"/>
      <c r="J10" s="2"/>
    </row>
    <row r="11" spans="1:10" x14ac:dyDescent="0.2">
      <c r="A11" s="2"/>
      <c r="B11" s="2"/>
      <c r="C11" s="7"/>
      <c r="D11" s="2"/>
      <c r="E11" s="2"/>
      <c r="F11" s="2"/>
      <c r="G11" s="2"/>
      <c r="H11" s="2"/>
      <c r="I11" s="2"/>
      <c r="J11" s="2"/>
    </row>
    <row r="12" spans="1:10" x14ac:dyDescent="0.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">
      <c r="A14" s="2"/>
      <c r="B14" s="8" t="s">
        <v>11</v>
      </c>
      <c r="C14" s="8"/>
      <c r="D14" s="8"/>
      <c r="E14" s="8"/>
      <c r="F14" s="8"/>
      <c r="G14" s="8"/>
      <c r="H14" s="8"/>
      <c r="I14" s="8"/>
      <c r="J14" s="8"/>
    </row>
    <row r="15" spans="1:10" x14ac:dyDescent="0.2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">
      <c r="A16" s="2"/>
      <c r="B16" s="9" t="s">
        <v>12</v>
      </c>
      <c r="C16" s="2"/>
      <c r="D16" s="2"/>
      <c r="E16" s="2"/>
      <c r="F16" s="2"/>
      <c r="G16" s="2"/>
      <c r="H16" s="2"/>
      <c r="I16" s="2"/>
      <c r="J16" s="2"/>
    </row>
    <row r="17" spans="1:10" x14ac:dyDescent="0.2">
      <c r="A17" s="2"/>
      <c r="B17" s="2" t="s">
        <v>13</v>
      </c>
      <c r="C17" s="10">
        <f>'P&amp;L'!E76</f>
        <v>1250</v>
      </c>
      <c r="D17" s="2"/>
      <c r="E17" s="2"/>
      <c r="F17" s="2"/>
      <c r="G17" s="2"/>
      <c r="H17" s="2"/>
      <c r="I17" s="2"/>
      <c r="J17" s="2"/>
    </row>
    <row r="18" spans="1:10" x14ac:dyDescent="0.2">
      <c r="A18" s="2"/>
      <c r="B18" s="2" t="s">
        <v>14</v>
      </c>
      <c r="C18" s="11">
        <f>'P&amp;L'!E79</f>
        <v>9703</v>
      </c>
      <c r="D18" s="2"/>
      <c r="E18" s="2"/>
      <c r="F18" s="2"/>
      <c r="G18" s="2"/>
      <c r="H18" s="2"/>
      <c r="I18" s="2"/>
      <c r="J18" s="2"/>
    </row>
    <row r="19" spans="1:10" x14ac:dyDescent="0.2">
      <c r="A19" s="2"/>
      <c r="B19" s="12" t="s">
        <v>15</v>
      </c>
      <c r="C19" s="13">
        <f>SUM(C17:C18)</f>
        <v>10953</v>
      </c>
      <c r="D19" s="2"/>
      <c r="E19" s="2"/>
      <c r="F19" s="2"/>
      <c r="G19" s="2"/>
      <c r="H19" s="2"/>
      <c r="I19" s="2"/>
      <c r="J19" s="2"/>
    </row>
    <row r="20" spans="1:10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2"/>
      <c r="B21" s="2" t="s">
        <v>16</v>
      </c>
      <c r="C21" s="10">
        <f>'P&amp;L'!E222</f>
        <v>2507</v>
      </c>
      <c r="D21" s="2"/>
      <c r="E21" s="2"/>
      <c r="F21" s="2"/>
      <c r="G21" s="2"/>
      <c r="H21" s="2"/>
      <c r="I21" s="2"/>
      <c r="J21" s="2"/>
    </row>
    <row r="22" spans="1:10" x14ac:dyDescent="0.2">
      <c r="A22" s="2"/>
      <c r="B22" s="2" t="s">
        <v>17</v>
      </c>
      <c r="C22" s="14">
        <f>+C7</f>
        <v>485.09</v>
      </c>
      <c r="D22" s="2"/>
      <c r="E22" s="2"/>
      <c r="F22" s="2"/>
      <c r="G22" s="2"/>
      <c r="H22" s="2"/>
      <c r="I22" s="2"/>
      <c r="J22" s="2"/>
    </row>
    <row r="23" spans="1:10" x14ac:dyDescent="0.2">
      <c r="A23" s="2"/>
      <c r="B23" s="12" t="s">
        <v>18</v>
      </c>
      <c r="C23" s="13">
        <f>+C21*C22</f>
        <v>1216120.6299999999</v>
      </c>
      <c r="D23" s="2"/>
      <c r="E23" s="2"/>
      <c r="F23" s="2"/>
      <c r="G23" s="2"/>
      <c r="H23" s="2"/>
      <c r="I23" s="2"/>
      <c r="J23" s="2"/>
    </row>
    <row r="24" spans="1:10" x14ac:dyDescent="0.2">
      <c r="A24" s="2"/>
      <c r="B24" s="2"/>
      <c r="C24" s="2"/>
      <c r="D24" s="2"/>
      <c r="E24" s="2"/>
      <c r="F24" s="2"/>
      <c r="G24" s="15"/>
      <c r="H24" s="15"/>
      <c r="I24" s="15"/>
      <c r="J24" s="2"/>
    </row>
    <row r="25" spans="1:10" x14ac:dyDescent="0.2">
      <c r="A25" s="2"/>
      <c r="B25" s="12" t="s">
        <v>19</v>
      </c>
      <c r="C25" s="13">
        <f>+C23+C19</f>
        <v>1227073.6299999999</v>
      </c>
      <c r="D25" s="2"/>
      <c r="E25" s="2"/>
      <c r="F25" s="2"/>
      <c r="G25" s="15"/>
      <c r="H25" s="15"/>
      <c r="I25" s="15"/>
      <c r="J25" s="2"/>
    </row>
    <row r="26" spans="1:10" x14ac:dyDescent="0.2">
      <c r="A26" s="2"/>
      <c r="B26" s="2"/>
      <c r="C26" s="2"/>
      <c r="D26" s="2"/>
      <c r="E26" s="2"/>
      <c r="F26" s="2"/>
      <c r="G26" s="2"/>
      <c r="H26" s="2"/>
      <c r="I26" s="15"/>
      <c r="J26" s="2"/>
    </row>
    <row r="27" spans="1:10" x14ac:dyDescent="0.2">
      <c r="A27" s="2"/>
      <c r="B27" s="2" t="s">
        <v>20</v>
      </c>
      <c r="C27" s="16">
        <f>+C19/$C$25</f>
        <v>8.9261147271170686E-3</v>
      </c>
      <c r="D27" s="2"/>
      <c r="E27" s="2"/>
      <c r="F27" s="2"/>
      <c r="G27" s="2"/>
      <c r="H27" s="2"/>
      <c r="I27" s="2"/>
      <c r="J27" s="2"/>
    </row>
    <row r="28" spans="1:10" x14ac:dyDescent="0.2">
      <c r="A28" s="2"/>
      <c r="B28" s="2" t="s">
        <v>21</v>
      </c>
      <c r="C28" s="16">
        <f>+C23/C25</f>
        <v>0.99107388527288298</v>
      </c>
      <c r="D28" s="2"/>
      <c r="E28" s="2"/>
      <c r="F28" s="2"/>
      <c r="G28" s="2"/>
      <c r="H28" s="2"/>
      <c r="I28" s="2"/>
      <c r="J28" s="2"/>
    </row>
    <row r="29" spans="1:10" x14ac:dyDescent="0.2">
      <c r="A29" s="2"/>
      <c r="B29" s="2" t="str">
        <f>"Current Levered Beta of "&amp;C5</f>
        <v>Current Levered Beta of Nvidia</v>
      </c>
      <c r="C29" s="17">
        <v>1.64</v>
      </c>
      <c r="D29" s="2"/>
      <c r="E29" s="2"/>
      <c r="F29" s="2"/>
      <c r="G29" s="2"/>
      <c r="H29" s="2"/>
      <c r="I29" s="2"/>
      <c r="J29" s="2"/>
    </row>
    <row r="30" spans="1:10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">
      <c r="A31" s="2"/>
      <c r="B31" s="9" t="s">
        <v>22</v>
      </c>
      <c r="C31" s="2"/>
      <c r="D31" s="2"/>
      <c r="E31" s="2"/>
      <c r="F31" s="2"/>
      <c r="G31" s="2"/>
      <c r="H31" s="2"/>
      <c r="I31" s="2"/>
      <c r="J31" s="2"/>
    </row>
    <row r="32" spans="1:10" x14ac:dyDescent="0.2">
      <c r="A32" s="2"/>
      <c r="B32" s="2" t="s">
        <v>20</v>
      </c>
      <c r="C32" s="18">
        <v>0.1</v>
      </c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 t="s">
        <v>21</v>
      </c>
      <c r="C33" s="18">
        <f>1-C32</f>
        <v>0.9</v>
      </c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9" t="s">
        <v>23</v>
      </c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 t="s">
        <v>24</v>
      </c>
      <c r="C36" s="19">
        <f>'P&amp;L'!F203</f>
        <v>2.1999999999999999E-2</v>
      </c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 t="s">
        <v>25</v>
      </c>
      <c r="C37" s="20">
        <v>0.21</v>
      </c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 t="s">
        <v>26</v>
      </c>
      <c r="C38" s="21">
        <f>+C36*(1-C37)</f>
        <v>1.738E-2</v>
      </c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9" t="s">
        <v>27</v>
      </c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 t="s">
        <v>28</v>
      </c>
      <c r="C41" s="18">
        <v>4.3400000000000001E-2</v>
      </c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 t="s">
        <v>29</v>
      </c>
      <c r="C42" s="18">
        <v>5.7000000000000002E-2</v>
      </c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 t="s">
        <v>30</v>
      </c>
      <c r="C43" s="18">
        <v>0.01</v>
      </c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 t="s">
        <v>31</v>
      </c>
      <c r="C44" s="22">
        <f>IF(D44=1,C60,C29)</f>
        <v>1.1979707674643931</v>
      </c>
      <c r="D44" s="23">
        <v>1</v>
      </c>
      <c r="E44" s="2" t="s">
        <v>32</v>
      </c>
      <c r="F44" s="2"/>
      <c r="G44" s="2"/>
      <c r="H44" s="2"/>
      <c r="I44" s="2"/>
      <c r="J44" s="2"/>
    </row>
    <row r="45" spans="1:10" x14ac:dyDescent="0.2">
      <c r="A45" s="2"/>
      <c r="B45" s="2" t="s">
        <v>33</v>
      </c>
      <c r="C45" s="21">
        <f>+C41+(C42*C44)</f>
        <v>0.1116843337454704</v>
      </c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4" t="s">
        <v>34</v>
      </c>
      <c r="C47" s="25">
        <f>+(C38*C32)+(C45*C33)</f>
        <v>0.10225390037092337</v>
      </c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9" t="s">
        <v>35</v>
      </c>
      <c r="C49" s="26"/>
      <c r="D49" s="27" t="s">
        <v>36</v>
      </c>
      <c r="E49" s="27"/>
      <c r="F49" s="27"/>
      <c r="G49" s="27" t="s">
        <v>37</v>
      </c>
      <c r="H49" s="27" t="s">
        <v>38</v>
      </c>
      <c r="I49" s="27" t="s">
        <v>39</v>
      </c>
      <c r="J49" s="2"/>
    </row>
    <row r="50" spans="1:10" x14ac:dyDescent="0.2">
      <c r="A50" s="2"/>
      <c r="B50" s="9"/>
      <c r="C50" s="28" t="s">
        <v>40</v>
      </c>
      <c r="D50" s="28" t="s">
        <v>41</v>
      </c>
      <c r="E50" s="28" t="s">
        <v>42</v>
      </c>
      <c r="F50" s="28" t="s">
        <v>43</v>
      </c>
      <c r="G50" s="28" t="s">
        <v>44</v>
      </c>
      <c r="H50" s="28" t="s">
        <v>45</v>
      </c>
      <c r="I50" s="28" t="s">
        <v>46</v>
      </c>
      <c r="J50" s="2"/>
    </row>
    <row r="51" spans="1:10" x14ac:dyDescent="0.2">
      <c r="A51" s="2"/>
      <c r="B51" s="2" t="s">
        <v>47</v>
      </c>
      <c r="C51" s="29">
        <v>1714</v>
      </c>
      <c r="D51" s="29">
        <v>193208</v>
      </c>
      <c r="E51" s="30">
        <f>+D51+C51</f>
        <v>194922</v>
      </c>
      <c r="F51" s="31">
        <f>+C51/D51</f>
        <v>8.8712682704649905E-3</v>
      </c>
      <c r="G51" s="32">
        <v>1.62</v>
      </c>
      <c r="H51" s="34">
        <f>+$C$37</f>
        <v>0.21</v>
      </c>
      <c r="I51" s="33">
        <f>+G51/(1+(1-H51)*F51)</f>
        <v>1.6087255655085069</v>
      </c>
      <c r="J51" s="2"/>
    </row>
    <row r="52" spans="1:10" x14ac:dyDescent="0.2">
      <c r="A52" s="2"/>
      <c r="B52" s="2" t="s">
        <v>48</v>
      </c>
      <c r="C52" s="29">
        <v>46335</v>
      </c>
      <c r="D52" s="29">
        <v>154323</v>
      </c>
      <c r="E52" s="30">
        <f>+D52+C52</f>
        <v>200658</v>
      </c>
      <c r="F52" s="31">
        <f>+C52/D52</f>
        <v>0.30024688478062245</v>
      </c>
      <c r="G52" s="32">
        <v>1.05</v>
      </c>
      <c r="H52" s="34">
        <f>+$C$37</f>
        <v>0.21</v>
      </c>
      <c r="I52" s="33">
        <f t="shared" ref="I52:I54" si="0">+G52/(1+(1-H52)*F52)</f>
        <v>0.84869399481950369</v>
      </c>
      <c r="J52" s="2"/>
    </row>
    <row r="53" spans="1:10" x14ac:dyDescent="0.2">
      <c r="A53" s="2"/>
      <c r="B53" s="2" t="s">
        <v>49</v>
      </c>
      <c r="C53" s="29">
        <v>45000</v>
      </c>
      <c r="D53" s="29">
        <v>1787000</v>
      </c>
      <c r="E53" s="30">
        <f>+D53+C53</f>
        <v>1832000</v>
      </c>
      <c r="F53" s="31">
        <f>+C53/D53</f>
        <v>2.5181869054280919E-2</v>
      </c>
      <c r="G53" s="32">
        <v>1.0900000000000001</v>
      </c>
      <c r="H53" s="34">
        <v>0.21</v>
      </c>
      <c r="I53" s="33">
        <f t="shared" si="0"/>
        <v>1.0687388549011003</v>
      </c>
      <c r="J53" s="2"/>
    </row>
    <row r="54" spans="1:10" x14ac:dyDescent="0.2">
      <c r="A54" s="2"/>
      <c r="B54" s="2" t="s">
        <v>50</v>
      </c>
      <c r="C54" s="338">
        <v>14530</v>
      </c>
      <c r="D54" s="338">
        <v>151100</v>
      </c>
      <c r="E54" s="339">
        <f>+D54+C54</f>
        <v>165630</v>
      </c>
      <c r="F54" s="35">
        <f>+C54/D54</f>
        <v>9.6161482461945738E-2</v>
      </c>
      <c r="G54" s="36">
        <v>1.22</v>
      </c>
      <c r="H54" s="37">
        <v>0.21</v>
      </c>
      <c r="I54" s="38">
        <f t="shared" si="0"/>
        <v>1.1338631690375183</v>
      </c>
      <c r="J54" s="2"/>
    </row>
    <row r="55" spans="1:10" x14ac:dyDescent="0.2">
      <c r="A55" s="2"/>
      <c r="B55" s="12" t="s">
        <v>51</v>
      </c>
      <c r="C55" s="39">
        <f>+MEDIAN(C51:C54)</f>
        <v>29765</v>
      </c>
      <c r="D55" s="39">
        <f>+MEDIAN(D51:D54)</f>
        <v>173765.5</v>
      </c>
      <c r="E55" s="39">
        <f>+MEDIAN(E51:E54)</f>
        <v>197790</v>
      </c>
      <c r="F55" s="40">
        <f>MEDIAN(F51:F54)</f>
        <v>6.067167575811333E-2</v>
      </c>
      <c r="G55" s="41">
        <f>+MEDIAN(G51:G54)</f>
        <v>1.155</v>
      </c>
      <c r="H55" s="40">
        <f>+MEDIAN(H51:H54)</f>
        <v>0.21</v>
      </c>
      <c r="I55" s="41">
        <f>+MEDIAN(I51:I54)</f>
        <v>1.1013010119693094</v>
      </c>
      <c r="J55" s="2"/>
    </row>
    <row r="56" spans="1:10" x14ac:dyDescent="0.2">
      <c r="A56" s="2"/>
      <c r="B56" s="1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 t="s">
        <v>52</v>
      </c>
      <c r="C57" s="33">
        <f>+I55</f>
        <v>1.1013010119693094</v>
      </c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 t="s">
        <v>43</v>
      </c>
      <c r="C58" s="31">
        <f>+C32/C33</f>
        <v>0.11111111111111112</v>
      </c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 t="s">
        <v>53</v>
      </c>
      <c r="C59" s="35">
        <f>+C37</f>
        <v>0.21</v>
      </c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12" t="s">
        <v>31</v>
      </c>
      <c r="C60" s="41">
        <f>+C57*(1+C58*(1-C59))</f>
        <v>1.1979707674643931</v>
      </c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12"/>
      <c r="C61" s="40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8" t="s">
        <v>54</v>
      </c>
      <c r="C63" s="8"/>
      <c r="D63" s="8"/>
      <c r="E63" s="8"/>
      <c r="F63" s="8"/>
      <c r="G63" s="8"/>
      <c r="H63" s="8"/>
      <c r="I63" s="8"/>
      <c r="J63" s="8"/>
    </row>
    <row r="64" spans="1:10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43"/>
      <c r="C65" s="44">
        <v>44926</v>
      </c>
      <c r="D65" s="45">
        <f>+EOMONTH(C65,12)</f>
        <v>45291</v>
      </c>
      <c r="E65" s="45">
        <f>+EOMONTH(D65,12)</f>
        <v>45657</v>
      </c>
      <c r="F65" s="45">
        <f>+EOMONTH(E65,12)</f>
        <v>46022</v>
      </c>
      <c r="G65" s="45">
        <f>+EOMONTH(F65,12)</f>
        <v>46387</v>
      </c>
      <c r="H65" s="45">
        <f>+EOMONTH(G65,12)</f>
        <v>46752</v>
      </c>
      <c r="I65" s="2"/>
      <c r="J65" s="46"/>
    </row>
    <row r="66" spans="1:10" x14ac:dyDescent="0.2">
      <c r="A66" s="2"/>
      <c r="B66" s="47" t="s">
        <v>55</v>
      </c>
      <c r="C66" s="48">
        <f>'P&amp;L'!E15</f>
        <v>26974</v>
      </c>
      <c r="D66" s="49">
        <f>'P&amp;L'!F15</f>
        <v>35285.529728266578</v>
      </c>
      <c r="E66" s="49">
        <f>'P&amp;L'!G15</f>
        <v>46158.100697129994</v>
      </c>
      <c r="F66" s="49">
        <f>'P&amp;L'!H15</f>
        <v>60380.849497623742</v>
      </c>
      <c r="G66" s="49">
        <f>'P&amp;L'!I15</f>
        <v>78986.070288662886</v>
      </c>
      <c r="H66" s="49">
        <f>'P&amp;L'!J15</f>
        <v>103324.13921886143</v>
      </c>
      <c r="I66" s="2"/>
      <c r="J66" s="46"/>
    </row>
    <row r="67" spans="1:10" x14ac:dyDescent="0.2">
      <c r="A67" s="2"/>
      <c r="B67" s="50" t="s">
        <v>56</v>
      </c>
      <c r="C67" s="51"/>
      <c r="D67" s="52">
        <f>+D66/C66-1</f>
        <v>0.30813115326857643</v>
      </c>
      <c r="E67" s="52">
        <f>+E66/D66-1</f>
        <v>0.30813115326857643</v>
      </c>
      <c r="F67" s="52">
        <f>+F66/E66-1</f>
        <v>0.30813115326857643</v>
      </c>
      <c r="G67" s="52">
        <f>+G66/F66-1</f>
        <v>0.30813115326857643</v>
      </c>
      <c r="H67" s="52">
        <f>+H66/G66-1</f>
        <v>0.30813115326857643</v>
      </c>
      <c r="I67" s="2"/>
      <c r="J67" s="46"/>
    </row>
    <row r="68" spans="1:10" x14ac:dyDescent="0.2">
      <c r="A68" s="2"/>
      <c r="B68" s="43"/>
      <c r="C68" s="53"/>
      <c r="D68" s="54"/>
      <c r="E68" s="54"/>
      <c r="F68" s="54"/>
      <c r="G68" s="54"/>
      <c r="H68" s="54"/>
      <c r="I68" s="2"/>
      <c r="J68" s="46"/>
    </row>
    <row r="69" spans="1:10" x14ac:dyDescent="0.2">
      <c r="A69" s="2"/>
      <c r="B69" s="43" t="s">
        <v>57</v>
      </c>
      <c r="C69" s="55">
        <f>'P&amp;L'!E17</f>
        <v>10074</v>
      </c>
      <c r="D69" s="56">
        <f>'P&amp;L'!F17</f>
        <v>13178.113238027636</v>
      </c>
      <c r="E69" s="56">
        <f>'P&amp;L'!G17</f>
        <v>17238.700467964987</v>
      </c>
      <c r="F69" s="56">
        <f>'P&amp;L'!H17</f>
        <v>22550.481124010585</v>
      </c>
      <c r="G69" s="56">
        <f>'P&amp;L'!I17</f>
        <v>29498.986879513228</v>
      </c>
      <c r="H69" s="56">
        <f>'P&amp;L'!J17</f>
        <v>38588.543726952244</v>
      </c>
      <c r="I69" s="2"/>
      <c r="J69" s="46"/>
    </row>
    <row r="70" spans="1:10" x14ac:dyDescent="0.2">
      <c r="A70" s="2"/>
      <c r="B70" s="47" t="s">
        <v>58</v>
      </c>
      <c r="C70" s="57">
        <f t="shared" ref="C70:H70" si="1">+C66-C69</f>
        <v>16900</v>
      </c>
      <c r="D70" s="58">
        <f t="shared" si="1"/>
        <v>22107.416490238942</v>
      </c>
      <c r="E70" s="58">
        <f t="shared" si="1"/>
        <v>28919.400229165007</v>
      </c>
      <c r="F70" s="58">
        <f t="shared" si="1"/>
        <v>37830.368373613157</v>
      </c>
      <c r="G70" s="58">
        <f t="shared" si="1"/>
        <v>49487.083409149658</v>
      </c>
      <c r="H70" s="58">
        <f t="shared" si="1"/>
        <v>64735.595491909182</v>
      </c>
      <c r="I70" s="2"/>
      <c r="J70" s="46"/>
    </row>
    <row r="71" spans="1:10" x14ac:dyDescent="0.2">
      <c r="A71" s="2"/>
      <c r="B71" s="50" t="s">
        <v>59</v>
      </c>
      <c r="C71" s="59">
        <f t="shared" ref="C71:H71" si="2">++C70/C66</f>
        <v>0.62652925038926377</v>
      </c>
      <c r="D71" s="60">
        <f t="shared" si="2"/>
        <v>0.62652925038926377</v>
      </c>
      <c r="E71" s="60">
        <f t="shared" si="2"/>
        <v>0.62652925038926377</v>
      </c>
      <c r="F71" s="60">
        <f t="shared" si="2"/>
        <v>0.62652925038926377</v>
      </c>
      <c r="G71" s="60">
        <f t="shared" si="2"/>
        <v>0.62652925038926377</v>
      </c>
      <c r="H71" s="60">
        <f t="shared" si="2"/>
        <v>0.62652925038926377</v>
      </c>
      <c r="I71" s="2"/>
      <c r="J71" s="46"/>
    </row>
    <row r="72" spans="1:10" x14ac:dyDescent="0.2">
      <c r="A72" s="2"/>
      <c r="B72" s="43"/>
      <c r="C72" s="53"/>
      <c r="D72" s="61"/>
      <c r="E72" s="61"/>
      <c r="F72" s="54"/>
      <c r="G72" s="54"/>
      <c r="H72" s="54"/>
      <c r="I72" s="2"/>
      <c r="J72" s="46"/>
    </row>
    <row r="73" spans="1:10" x14ac:dyDescent="0.2">
      <c r="A73" s="2"/>
      <c r="B73" s="43" t="s">
        <v>60</v>
      </c>
      <c r="C73" s="62">
        <f>'P&amp;L'!E21</f>
        <v>7339</v>
      </c>
      <c r="D73" s="63">
        <f>'P&amp;L'!F21</f>
        <v>9600.3745338380813</v>
      </c>
      <c r="E73" s="63">
        <f>'P&amp;L'!G21</f>
        <v>12558.54901075988</v>
      </c>
      <c r="F73" s="63">
        <f>'P&amp;L'!H21</f>
        <v>16428.229200825263</v>
      </c>
      <c r="G73" s="63">
        <f>'P&amp;L'!I21</f>
        <v>21490.278410636052</v>
      </c>
      <c r="H73" s="63">
        <f>'P&amp;L'!J21</f>
        <v>28112.102681368131</v>
      </c>
      <c r="I73" s="2"/>
      <c r="J73" s="46"/>
    </row>
    <row r="74" spans="1:10" x14ac:dyDescent="0.2">
      <c r="A74" s="2"/>
      <c r="B74" s="43" t="s">
        <v>61</v>
      </c>
      <c r="C74" s="55">
        <f>'P&amp;L'!E22</f>
        <v>2440</v>
      </c>
      <c r="D74" s="56">
        <f>'P&amp;L'!F22</f>
        <v>3191.8400139753262</v>
      </c>
      <c r="E74" s="56">
        <f>'P&amp;L'!G22</f>
        <v>4175.3453585303323</v>
      </c>
      <c r="F74" s="56">
        <f>'P&amp;L'!H22</f>
        <v>5461.8993391488821</v>
      </c>
      <c r="G74" s="56">
        <f>'P&amp;L'!I22</f>
        <v>7144.8806815577018</v>
      </c>
      <c r="H74" s="56">
        <f>'P&amp;L'!J22</f>
        <v>9346.4410059324491</v>
      </c>
      <c r="I74" s="2"/>
      <c r="J74" s="46"/>
    </row>
    <row r="75" spans="1:10" x14ac:dyDescent="0.2">
      <c r="A75" s="2"/>
      <c r="B75" s="2" t="s">
        <v>62</v>
      </c>
      <c r="C75" s="64">
        <f>SUM(C73:C74)</f>
        <v>9779</v>
      </c>
      <c r="D75" s="65">
        <f t="shared" ref="D75:H75" si="3">SUM(D73:D74)</f>
        <v>12792.214547813408</v>
      </c>
      <c r="E75" s="65">
        <f t="shared" si="3"/>
        <v>16733.89436929021</v>
      </c>
      <c r="F75" s="65">
        <f t="shared" si="3"/>
        <v>21890.128539974146</v>
      </c>
      <c r="G75" s="65">
        <f t="shared" si="3"/>
        <v>28635.159092193753</v>
      </c>
      <c r="H75" s="65">
        <f t="shared" si="3"/>
        <v>37458.543687300582</v>
      </c>
      <c r="I75" s="2"/>
      <c r="J75" s="46"/>
    </row>
    <row r="76" spans="1:10" x14ac:dyDescent="0.2">
      <c r="A76" s="2"/>
      <c r="B76" s="47" t="s">
        <v>63</v>
      </c>
      <c r="C76" s="66">
        <f>+C70-C75</f>
        <v>7121</v>
      </c>
      <c r="D76" s="67">
        <f t="shared" ref="D76:H76" si="4">+D70-D75</f>
        <v>9315.2019424255341</v>
      </c>
      <c r="E76" s="67">
        <f t="shared" si="4"/>
        <v>12185.505859874796</v>
      </c>
      <c r="F76" s="67">
        <f t="shared" si="4"/>
        <v>15940.239833639011</v>
      </c>
      <c r="G76" s="67">
        <f t="shared" si="4"/>
        <v>20851.924316955905</v>
      </c>
      <c r="H76" s="67">
        <f t="shared" si="4"/>
        <v>27277.0518046086</v>
      </c>
      <c r="I76" s="2"/>
      <c r="J76" s="46"/>
    </row>
    <row r="77" spans="1:10" x14ac:dyDescent="0.2">
      <c r="A77" s="2"/>
      <c r="B77" s="50" t="s">
        <v>64</v>
      </c>
      <c r="C77" s="59">
        <f>+C76/C66</f>
        <v>0.26399495810780754</v>
      </c>
      <c r="D77" s="68">
        <f t="shared" ref="D77:H77" si="5">+D76/D66</f>
        <v>0.2639949581078076</v>
      </c>
      <c r="E77" s="68">
        <f t="shared" si="5"/>
        <v>0.2639949581078076</v>
      </c>
      <c r="F77" s="68">
        <f t="shared" si="5"/>
        <v>0.26399495810780754</v>
      </c>
      <c r="G77" s="68">
        <f t="shared" si="5"/>
        <v>0.2639949581078076</v>
      </c>
      <c r="H77" s="68">
        <f t="shared" si="5"/>
        <v>0.2639949581078076</v>
      </c>
      <c r="I77" s="2"/>
      <c r="J77" s="46"/>
    </row>
    <row r="78" spans="1:10" x14ac:dyDescent="0.2">
      <c r="A78" s="2"/>
      <c r="B78" s="2"/>
      <c r="C78" s="62"/>
      <c r="D78" s="2"/>
      <c r="E78" s="2"/>
      <c r="F78" s="2"/>
      <c r="G78" s="2"/>
      <c r="H78" s="2"/>
      <c r="I78" s="2"/>
      <c r="J78" s="46"/>
    </row>
    <row r="79" spans="1:10" x14ac:dyDescent="0.2">
      <c r="A79" s="2"/>
      <c r="B79" s="43" t="s">
        <v>65</v>
      </c>
      <c r="C79" s="55">
        <f>'P&amp;L'!E29 + 'P&amp;L'!E30</f>
        <v>1544</v>
      </c>
      <c r="D79" s="335">
        <f>'P&amp;L'!F29 + 'P&amp;L'!F30</f>
        <v>1481.3047226531639</v>
      </c>
      <c r="E79" s="56">
        <f>'P&amp;L'!G29 + 'P&amp;L'!G30</f>
        <v>1882.1549891432173</v>
      </c>
      <c r="F79" s="56">
        <f>'P&amp;L'!H29 + 'P&amp;L'!H30</f>
        <v>2406.519710534867</v>
      </c>
      <c r="G79" s="56">
        <f>'P&amp;L'!I29 + 'P&amp;L'!I30</f>
        <v>3092.4575382622816</v>
      </c>
      <c r="H79" s="56">
        <f>'P&amp;L'!J29 + 'P&amp;L'!J30</f>
        <v>3989.7541799178866</v>
      </c>
      <c r="I79" s="2"/>
      <c r="J79" s="46"/>
    </row>
    <row r="80" spans="1:10" x14ac:dyDescent="0.2">
      <c r="A80" s="2"/>
      <c r="B80" s="47" t="s">
        <v>66</v>
      </c>
      <c r="C80" s="69">
        <f t="shared" ref="C80:H80" si="6">+C76-C79</f>
        <v>5577</v>
      </c>
      <c r="D80" s="70">
        <f t="shared" si="6"/>
        <v>7833.8972197723706</v>
      </c>
      <c r="E80" s="70">
        <f t="shared" si="6"/>
        <v>10303.35087073158</v>
      </c>
      <c r="F80" s="70">
        <f t="shared" si="6"/>
        <v>13533.720123104144</v>
      </c>
      <c r="G80" s="70">
        <f t="shared" si="6"/>
        <v>17759.466778693622</v>
      </c>
      <c r="H80" s="70">
        <f t="shared" si="6"/>
        <v>23287.297624690713</v>
      </c>
      <c r="I80" s="2"/>
      <c r="J80" s="46"/>
    </row>
    <row r="81" spans="1:10" x14ac:dyDescent="0.2">
      <c r="A81" s="2"/>
      <c r="B81" s="43" t="s">
        <v>67</v>
      </c>
      <c r="C81" s="71">
        <v>0.21</v>
      </c>
      <c r="D81" s="72">
        <f>+C81</f>
        <v>0.21</v>
      </c>
      <c r="E81" s="72">
        <f t="shared" ref="E81:H81" si="7">+D81</f>
        <v>0.21</v>
      </c>
      <c r="F81" s="72">
        <f t="shared" si="7"/>
        <v>0.21</v>
      </c>
      <c r="G81" s="72">
        <f t="shared" si="7"/>
        <v>0.21</v>
      </c>
      <c r="H81" s="72">
        <f t="shared" si="7"/>
        <v>0.21</v>
      </c>
      <c r="I81" s="2"/>
      <c r="J81" s="46"/>
    </row>
    <row r="82" spans="1:10" x14ac:dyDescent="0.2">
      <c r="A82" s="2"/>
      <c r="B82" s="47" t="s">
        <v>68</v>
      </c>
      <c r="C82" s="66">
        <f t="shared" ref="C82:H82" si="8">+C80*(1-C81)</f>
        <v>4405.83</v>
      </c>
      <c r="D82" s="67">
        <f t="shared" si="8"/>
        <v>6188.7788036201728</v>
      </c>
      <c r="E82" s="67">
        <f t="shared" si="8"/>
        <v>8139.6471878779485</v>
      </c>
      <c r="F82" s="67">
        <f t="shared" si="8"/>
        <v>10691.638897252275</v>
      </c>
      <c r="G82" s="67">
        <f t="shared" si="8"/>
        <v>14029.978755167962</v>
      </c>
      <c r="H82" s="67">
        <f t="shared" si="8"/>
        <v>18396.965123505663</v>
      </c>
      <c r="I82" s="2"/>
      <c r="J82" s="46"/>
    </row>
    <row r="83" spans="1:10" x14ac:dyDescent="0.2">
      <c r="A83" s="2"/>
      <c r="B83" s="43" t="s">
        <v>69</v>
      </c>
      <c r="C83" s="73">
        <f t="shared" ref="C83:H83" si="9">C79</f>
        <v>1544</v>
      </c>
      <c r="D83" s="74">
        <f t="shared" si="9"/>
        <v>1481.3047226531639</v>
      </c>
      <c r="E83" s="74">
        <f t="shared" si="9"/>
        <v>1882.1549891432173</v>
      </c>
      <c r="F83" s="74">
        <f t="shared" si="9"/>
        <v>2406.519710534867</v>
      </c>
      <c r="G83" s="74">
        <f t="shared" si="9"/>
        <v>3092.4575382622816</v>
      </c>
      <c r="H83" s="74">
        <f t="shared" si="9"/>
        <v>3989.7541799178866</v>
      </c>
      <c r="I83" s="2"/>
      <c r="J83" s="46"/>
    </row>
    <row r="84" spans="1:10" x14ac:dyDescent="0.2">
      <c r="A84" s="2"/>
      <c r="B84" s="47" t="s">
        <v>70</v>
      </c>
      <c r="C84" s="69">
        <f t="shared" ref="C84:H84" si="10">+C82+C83</f>
        <v>5949.83</v>
      </c>
      <c r="D84" s="70">
        <f t="shared" si="10"/>
        <v>7670.0835262733362</v>
      </c>
      <c r="E84" s="70">
        <f t="shared" si="10"/>
        <v>10021.802177021165</v>
      </c>
      <c r="F84" s="70">
        <f t="shared" si="10"/>
        <v>13098.158607787142</v>
      </c>
      <c r="G84" s="70">
        <f t="shared" si="10"/>
        <v>17122.436293430244</v>
      </c>
      <c r="H84" s="70">
        <f t="shared" si="10"/>
        <v>22386.71930342355</v>
      </c>
      <c r="I84" s="2"/>
      <c r="J84" s="46"/>
    </row>
    <row r="85" spans="1:10" x14ac:dyDescent="0.2">
      <c r="A85" s="2"/>
      <c r="B85" s="43"/>
      <c r="C85" s="53"/>
      <c r="D85" s="61"/>
      <c r="E85" s="61"/>
      <c r="F85" s="61"/>
      <c r="G85" s="61"/>
      <c r="H85" s="61"/>
      <c r="I85" s="2"/>
      <c r="J85" s="46"/>
    </row>
    <row r="86" spans="1:10" x14ac:dyDescent="0.2">
      <c r="A86" s="2"/>
      <c r="B86" s="43" t="s">
        <v>71</v>
      </c>
      <c r="C86" s="62">
        <f>-'P&amp;L'!E123</f>
        <v>-1874</v>
      </c>
      <c r="D86" s="75">
        <f>-'P&amp;L'!F123</f>
        <v>-2451.4377812253119</v>
      </c>
      <c r="E86" s="75">
        <f>-'P&amp;L'!G123</f>
        <v>-3206.8021319204272</v>
      </c>
      <c r="F86" s="75">
        <f>-'P&amp;L'!H123</f>
        <v>-4194.9177711331977</v>
      </c>
      <c r="G86" s="75">
        <f>-'P&amp;L'!I123</f>
        <v>-5487.5026218193161</v>
      </c>
      <c r="H86" s="75">
        <f>-'P&amp;L'!J123</f>
        <v>-7178.3731332448397</v>
      </c>
      <c r="I86" s="2"/>
      <c r="J86" s="46"/>
    </row>
    <row r="87" spans="1:10" x14ac:dyDescent="0.2">
      <c r="A87" s="2"/>
      <c r="B87" s="43" t="s">
        <v>72</v>
      </c>
      <c r="C87" s="55">
        <f>-'P&amp;L'!E109</f>
        <v>-1178</v>
      </c>
      <c r="D87" s="56">
        <f>-'P&amp;L'!F109</f>
        <v>-1375.4974681909252</v>
      </c>
      <c r="E87" s="56">
        <f>-'P&amp;L'!G109</f>
        <v>-1799.3310893826028</v>
      </c>
      <c r="F87" s="56">
        <f>-'P&amp;L'!H109</f>
        <v>-2353.7610530660641</v>
      </c>
      <c r="G87" s="56">
        <f>-'P&amp;L'!I109</f>
        <v>-3079.0281608659734</v>
      </c>
      <c r="H87" s="56">
        <f>-'P&amp;L'!J109</f>
        <v>-4027.7726590200309</v>
      </c>
      <c r="I87" s="2"/>
      <c r="J87" s="46"/>
    </row>
    <row r="88" spans="1:10" x14ac:dyDescent="0.2">
      <c r="A88" s="2"/>
      <c r="B88" s="47" t="s">
        <v>73</v>
      </c>
      <c r="C88" s="69">
        <f>+C84+C86+C87</f>
        <v>2897.83</v>
      </c>
      <c r="D88" s="70">
        <f t="shared" ref="D88:H88" si="11">+D84+D86+D87</f>
        <v>3843.1482768570995</v>
      </c>
      <c r="E88" s="70">
        <f t="shared" si="11"/>
        <v>5015.6689557181353</v>
      </c>
      <c r="F88" s="70">
        <f t="shared" si="11"/>
        <v>6549.4797835878799</v>
      </c>
      <c r="G88" s="70">
        <f t="shared" si="11"/>
        <v>8555.9055107449549</v>
      </c>
      <c r="H88" s="70">
        <f t="shared" si="11"/>
        <v>11180.573511158678</v>
      </c>
      <c r="I88" s="2"/>
      <c r="J88" s="46"/>
    </row>
    <row r="89" spans="1:10" x14ac:dyDescent="0.2">
      <c r="A89" s="2"/>
      <c r="B89" s="47"/>
      <c r="C89" s="69"/>
      <c r="D89" s="70"/>
      <c r="E89" s="70"/>
      <c r="F89" s="70"/>
      <c r="G89" s="70"/>
      <c r="H89" s="70"/>
      <c r="I89" s="2"/>
      <c r="J89" s="46"/>
    </row>
    <row r="90" spans="1:10" x14ac:dyDescent="0.2">
      <c r="A90" s="2"/>
      <c r="B90" s="47" t="s">
        <v>74</v>
      </c>
      <c r="C90" s="23">
        <v>0</v>
      </c>
      <c r="D90" s="70" t="s">
        <v>75</v>
      </c>
      <c r="E90" s="70"/>
      <c r="F90" s="70"/>
      <c r="G90" s="70"/>
      <c r="H90" s="70"/>
      <c r="I90" s="2"/>
      <c r="J90" s="46"/>
    </row>
    <row r="91" spans="1:10" x14ac:dyDescent="0.2">
      <c r="A91" s="2"/>
      <c r="B91" s="43"/>
      <c r="C91" s="53"/>
      <c r="D91" s="54"/>
      <c r="E91" s="54"/>
      <c r="F91" s="54"/>
      <c r="G91" s="54"/>
      <c r="H91" s="54"/>
      <c r="I91" s="2"/>
      <c r="J91" s="46"/>
    </row>
    <row r="92" spans="1:10" x14ac:dyDescent="0.2">
      <c r="A92" s="2"/>
      <c r="B92" s="43" t="s">
        <v>76</v>
      </c>
      <c r="C92" s="76">
        <v>0</v>
      </c>
      <c r="D92" s="77">
        <f>IF($C$90=0,+C92+1,((D65-$C$65)/365)-0.5)</f>
        <v>1</v>
      </c>
      <c r="E92" s="77">
        <f t="shared" ref="E92:H92" si="12">IF($C$90=0,+D92+1,((E65-$C$65)/365)-0.5)</f>
        <v>2</v>
      </c>
      <c r="F92" s="77">
        <f t="shared" si="12"/>
        <v>3</v>
      </c>
      <c r="G92" s="77">
        <f t="shared" si="12"/>
        <v>4</v>
      </c>
      <c r="H92" s="77">
        <f t="shared" si="12"/>
        <v>5</v>
      </c>
      <c r="I92" s="2"/>
      <c r="J92" s="46"/>
    </row>
    <row r="93" spans="1:10" x14ac:dyDescent="0.2">
      <c r="A93" s="2"/>
      <c r="B93" s="43" t="s">
        <v>77</v>
      </c>
      <c r="C93" s="53"/>
      <c r="D93" s="78">
        <f>1/(1+$C$47)^D92</f>
        <v>0.9072319904365832</v>
      </c>
      <c r="E93" s="78">
        <f t="shared" ref="E93:H93" si="13">1/(1+$C$47)^E92</f>
        <v>0.82306988447152452</v>
      </c>
      <c r="F93" s="78">
        <f t="shared" si="13"/>
        <v>0.74671532955750974</v>
      </c>
      <c r="G93" s="78">
        <f t="shared" si="13"/>
        <v>0.67744403472396875</v>
      </c>
      <c r="H93" s="78">
        <f t="shared" si="13"/>
        <v>0.61459890003201589</v>
      </c>
      <c r="I93" s="2"/>
      <c r="J93" s="46"/>
    </row>
    <row r="94" spans="1:10" x14ac:dyDescent="0.2">
      <c r="A94" s="2"/>
      <c r="B94" s="47" t="s">
        <v>78</v>
      </c>
      <c r="C94" s="336"/>
      <c r="D94" s="337">
        <f>+D88*D93</f>
        <v>3486.6270607559914</v>
      </c>
      <c r="E94" s="337">
        <f t="shared" ref="E94:H94" si="14">+E88*E93</f>
        <v>4128.2460679303376</v>
      </c>
      <c r="F94" s="337">
        <f t="shared" si="14"/>
        <v>4890.5969550320715</v>
      </c>
      <c r="G94" s="337">
        <f t="shared" si="14"/>
        <v>5796.1471499161007</v>
      </c>
      <c r="H94" s="337">
        <f t="shared" si="14"/>
        <v>6871.5681816852175</v>
      </c>
      <c r="I94" s="2"/>
      <c r="J94" s="46"/>
    </row>
    <row r="95" spans="1:10" x14ac:dyDescent="0.2">
      <c r="A95" s="2"/>
      <c r="B95" s="47"/>
      <c r="C95" s="80"/>
      <c r="D95" s="81"/>
      <c r="E95" s="81"/>
      <c r="F95" s="81"/>
      <c r="G95" s="81"/>
      <c r="H95" s="81"/>
      <c r="I95" s="82"/>
      <c r="J95" s="46"/>
    </row>
    <row r="96" spans="1:10" x14ac:dyDescent="0.2">
      <c r="A96" s="2"/>
      <c r="B96" s="47" t="s">
        <v>79</v>
      </c>
      <c r="C96" s="83">
        <f>+SUM(D94:H94)</f>
        <v>25173.18541531972</v>
      </c>
      <c r="D96" s="81"/>
      <c r="E96" s="81"/>
      <c r="F96" s="81"/>
      <c r="G96" s="81"/>
      <c r="H96" s="81"/>
      <c r="I96" s="82"/>
      <c r="J96" s="46"/>
    </row>
    <row r="97" spans="1:10" x14ac:dyDescent="0.2">
      <c r="A97" s="2"/>
      <c r="B97" s="84" t="s">
        <v>80</v>
      </c>
      <c r="C97" s="85">
        <f>$C$21</f>
        <v>2507</v>
      </c>
      <c r="D97" s="81"/>
      <c r="E97" s="81"/>
      <c r="F97" s="81"/>
      <c r="G97" s="81"/>
      <c r="H97" s="81"/>
      <c r="I97" s="82"/>
      <c r="J97" s="46"/>
    </row>
    <row r="98" spans="1:10" x14ac:dyDescent="0.2">
      <c r="A98" s="2"/>
      <c r="B98" s="341" t="s">
        <v>81</v>
      </c>
      <c r="C98" s="340">
        <f>+C96/C97</f>
        <v>10.041158921148671</v>
      </c>
      <c r="D98" s="86"/>
      <c r="E98" s="86"/>
      <c r="F98" s="87"/>
      <c r="G98" s="87"/>
      <c r="H98" s="87"/>
      <c r="I98" s="43"/>
      <c r="J98" s="82"/>
    </row>
    <row r="99" spans="1:10" x14ac:dyDescent="0.2">
      <c r="A99" s="2"/>
      <c r="B99" s="47"/>
      <c r="C99" s="80"/>
      <c r="D99" s="86"/>
      <c r="E99" s="86"/>
      <c r="F99" s="87"/>
      <c r="G99" s="87"/>
      <c r="H99" s="87"/>
      <c r="I99" s="43"/>
      <c r="J99" s="82"/>
    </row>
    <row r="100" spans="1:10" x14ac:dyDescent="0.2">
      <c r="A100" s="2"/>
      <c r="B100" s="8" t="s">
        <v>82</v>
      </c>
      <c r="C100" s="8"/>
      <c r="D100" s="8"/>
      <c r="E100" s="8"/>
      <c r="F100" s="8"/>
      <c r="G100" s="8"/>
      <c r="H100" s="8"/>
      <c r="I100" s="8"/>
      <c r="J100" s="8"/>
    </row>
    <row r="101" spans="1:10" x14ac:dyDescent="0.2">
      <c r="A101" s="2"/>
      <c r="B101" s="47"/>
      <c r="C101" s="80"/>
      <c r="D101" s="86"/>
      <c r="E101" s="86"/>
      <c r="F101" s="87"/>
      <c r="G101" s="87"/>
      <c r="H101" s="87"/>
      <c r="I101" s="43"/>
      <c r="J101" s="82"/>
    </row>
    <row r="102" spans="1:10" x14ac:dyDescent="0.2">
      <c r="A102" s="2"/>
      <c r="B102" s="47"/>
      <c r="C102" s="80"/>
      <c r="D102" s="88" t="s">
        <v>83</v>
      </c>
      <c r="E102" s="88" t="s">
        <v>84</v>
      </c>
      <c r="F102" s="87"/>
      <c r="G102" s="87"/>
      <c r="H102" s="87"/>
      <c r="I102" s="43"/>
      <c r="J102" s="82"/>
    </row>
    <row r="103" spans="1:10" x14ac:dyDescent="0.2">
      <c r="A103" s="2"/>
      <c r="B103" s="43"/>
      <c r="C103" s="44">
        <f>+H65</f>
        <v>46752</v>
      </c>
      <c r="D103" s="45">
        <f>+EOMONTH(C103,12)</f>
        <v>47118</v>
      </c>
      <c r="E103" s="89" t="s">
        <v>85</v>
      </c>
      <c r="F103" s="87"/>
      <c r="G103" s="87"/>
      <c r="H103" s="87"/>
      <c r="I103" s="43"/>
      <c r="J103" s="82"/>
    </row>
    <row r="104" spans="1:10" x14ac:dyDescent="0.2">
      <c r="A104" s="2"/>
      <c r="B104" s="47" t="s">
        <v>55</v>
      </c>
      <c r="C104" s="69">
        <f>+H66</f>
        <v>103324.13921886143</v>
      </c>
      <c r="D104" s="70">
        <f>+C104*(1+E104)</f>
        <v>110556.82896418174</v>
      </c>
      <c r="E104" s="90">
        <v>7.0000000000000007E-2</v>
      </c>
      <c r="F104" s="87"/>
      <c r="G104" s="87"/>
      <c r="H104" s="87"/>
      <c r="I104" s="43"/>
      <c r="J104" s="82"/>
    </row>
    <row r="105" spans="1:10" x14ac:dyDescent="0.2">
      <c r="A105" s="2"/>
      <c r="B105" s="50"/>
      <c r="C105" s="91"/>
      <c r="D105" s="92"/>
      <c r="E105" s="82"/>
      <c r="F105" s="87"/>
      <c r="G105" s="87"/>
      <c r="H105" s="87"/>
      <c r="I105" s="43"/>
      <c r="J105" s="82"/>
    </row>
    <row r="106" spans="1:10" x14ac:dyDescent="0.2">
      <c r="A106" s="2"/>
      <c r="B106" s="43"/>
      <c r="C106" s="93"/>
      <c r="D106" s="94"/>
      <c r="E106" s="82"/>
      <c r="F106" s="87"/>
      <c r="G106" s="87"/>
      <c r="H106" s="87"/>
      <c r="I106" s="43"/>
      <c r="J106" s="82"/>
    </row>
    <row r="107" spans="1:10" x14ac:dyDescent="0.2">
      <c r="A107" s="2"/>
      <c r="B107" s="43" t="s">
        <v>57</v>
      </c>
      <c r="C107" s="64">
        <f>+H69</f>
        <v>38588.543726952244</v>
      </c>
      <c r="D107" s="95">
        <f>+D104-D108</f>
        <v>41289.74178783891</v>
      </c>
      <c r="E107" s="82"/>
      <c r="F107" s="87"/>
      <c r="G107" s="87"/>
      <c r="H107" s="87"/>
      <c r="I107" s="43"/>
      <c r="J107" s="82"/>
    </row>
    <row r="108" spans="1:10" x14ac:dyDescent="0.2">
      <c r="A108" s="2"/>
      <c r="B108" s="47" t="s">
        <v>58</v>
      </c>
      <c r="C108" s="66">
        <f t="shared" ref="C108" si="15">+C104-C107</f>
        <v>64735.595491909182</v>
      </c>
      <c r="D108" s="67">
        <f>+D104*D109</f>
        <v>69267.087176342829</v>
      </c>
      <c r="E108" s="82"/>
      <c r="F108" s="87"/>
      <c r="G108" s="87"/>
      <c r="H108" s="87"/>
      <c r="I108" s="43"/>
      <c r="J108" s="82"/>
    </row>
    <row r="109" spans="1:10" x14ac:dyDescent="0.2">
      <c r="A109" s="2"/>
      <c r="B109" s="50" t="s">
        <v>59</v>
      </c>
      <c r="C109" s="59">
        <f t="shared" ref="C109" si="16">++C108/C104</f>
        <v>0.62652925038926377</v>
      </c>
      <c r="D109" s="60">
        <f>+C109</f>
        <v>0.62652925038926377</v>
      </c>
      <c r="E109" s="82"/>
      <c r="F109" s="87"/>
      <c r="G109" s="87"/>
      <c r="H109" s="87"/>
      <c r="I109" s="43"/>
      <c r="J109" s="82"/>
    </row>
    <row r="110" spans="1:10" x14ac:dyDescent="0.2">
      <c r="A110" s="2"/>
      <c r="B110" s="43"/>
      <c r="C110" s="53"/>
      <c r="D110" s="61"/>
      <c r="E110" s="82"/>
      <c r="F110" s="87"/>
      <c r="G110" s="87"/>
      <c r="H110" s="87"/>
      <c r="I110" s="43"/>
      <c r="J110" s="82"/>
    </row>
    <row r="111" spans="1:10" x14ac:dyDescent="0.2">
      <c r="A111" s="2"/>
      <c r="B111" s="43" t="s">
        <v>60</v>
      </c>
      <c r="C111" s="64">
        <f>+H73</f>
        <v>28112.102681368131</v>
      </c>
      <c r="D111" s="95">
        <f>+C111*(1+E111)</f>
        <v>30079.949869063901</v>
      </c>
      <c r="E111" s="96">
        <f>+$E$104</f>
        <v>7.0000000000000007E-2</v>
      </c>
      <c r="F111" s="87"/>
      <c r="G111" s="87"/>
      <c r="H111" s="87"/>
      <c r="I111" s="43"/>
      <c r="J111" s="82"/>
    </row>
    <row r="112" spans="1:10" x14ac:dyDescent="0.2">
      <c r="A112" s="2"/>
      <c r="B112" s="43" t="s">
        <v>61</v>
      </c>
      <c r="C112" s="64">
        <f>+H74</f>
        <v>9346.4410059324491</v>
      </c>
      <c r="D112" s="95">
        <f>+C112*(1+E112)</f>
        <v>10000.691876347721</v>
      </c>
      <c r="E112" s="96">
        <f>+$E$104</f>
        <v>7.0000000000000007E-2</v>
      </c>
      <c r="F112" s="87"/>
      <c r="G112" s="87"/>
      <c r="H112" s="87"/>
      <c r="I112" s="43"/>
      <c r="J112" s="82"/>
    </row>
    <row r="113" spans="1:10" x14ac:dyDescent="0.2">
      <c r="A113" s="2"/>
      <c r="B113" s="2" t="s">
        <v>62</v>
      </c>
      <c r="C113" s="97">
        <f>SUM(C111:C112)</f>
        <v>37458.543687300582</v>
      </c>
      <c r="D113" s="98">
        <f>SUM(D111:D112)</f>
        <v>40080.641745411624</v>
      </c>
      <c r="E113" s="82"/>
      <c r="F113" s="87"/>
      <c r="G113" s="87"/>
      <c r="H113" s="87"/>
      <c r="I113" s="43"/>
      <c r="J113" s="82"/>
    </row>
    <row r="114" spans="1:10" x14ac:dyDescent="0.2">
      <c r="A114" s="2"/>
      <c r="B114" s="47" t="s">
        <v>63</v>
      </c>
      <c r="C114" s="66">
        <f>+C108-C113</f>
        <v>27277.0518046086</v>
      </c>
      <c r="D114" s="67">
        <f>+D108-D113</f>
        <v>29186.445430931206</v>
      </c>
      <c r="E114" s="82"/>
      <c r="F114" s="87"/>
      <c r="G114" s="87"/>
      <c r="H114" s="87"/>
      <c r="I114" s="43"/>
      <c r="J114" s="82"/>
    </row>
    <row r="115" spans="1:10" x14ac:dyDescent="0.2">
      <c r="A115" s="2"/>
      <c r="B115" s="50" t="s">
        <v>64</v>
      </c>
      <c r="C115" s="99">
        <f>+C114/C104</f>
        <v>0.2639949581078076</v>
      </c>
      <c r="D115" s="99">
        <f>+D114/D104</f>
        <v>0.2639949581078076</v>
      </c>
      <c r="E115" s="2"/>
      <c r="F115" s="87"/>
      <c r="G115" s="87"/>
      <c r="H115" s="87"/>
      <c r="I115" s="43"/>
      <c r="J115" s="82"/>
    </row>
    <row r="116" spans="1:10" x14ac:dyDescent="0.2">
      <c r="A116" s="2"/>
      <c r="B116" s="2"/>
      <c r="C116" s="2"/>
      <c r="D116" s="2"/>
      <c r="E116" s="82"/>
      <c r="F116" s="87"/>
      <c r="G116" s="87"/>
      <c r="H116" s="87"/>
      <c r="I116" s="43"/>
      <c r="J116" s="82"/>
    </row>
    <row r="117" spans="1:10" x14ac:dyDescent="0.2">
      <c r="A117" s="2"/>
      <c r="B117" s="43" t="s">
        <v>65</v>
      </c>
      <c r="C117" s="64">
        <f>+H79</f>
        <v>3989.7541799178866</v>
      </c>
      <c r="D117" s="95">
        <f>+C117*(1+E117)</f>
        <v>4269.0369725121391</v>
      </c>
      <c r="E117" s="82">
        <f>+E104</f>
        <v>7.0000000000000007E-2</v>
      </c>
      <c r="F117" s="87"/>
      <c r="G117" s="87"/>
      <c r="H117" s="87"/>
      <c r="I117" s="43"/>
      <c r="J117" s="82"/>
    </row>
    <row r="118" spans="1:10" x14ac:dyDescent="0.2">
      <c r="A118" s="2"/>
      <c r="B118" s="47" t="s">
        <v>66</v>
      </c>
      <c r="C118" s="66">
        <f>+C114-C117</f>
        <v>23287.297624690713</v>
      </c>
      <c r="D118" s="67">
        <f>+D114-D117</f>
        <v>24917.408458419068</v>
      </c>
      <c r="E118" s="82"/>
      <c r="F118" s="87"/>
      <c r="G118" s="87"/>
      <c r="H118" s="87"/>
      <c r="I118" s="43"/>
      <c r="J118" s="82"/>
    </row>
    <row r="119" spans="1:10" x14ac:dyDescent="0.2">
      <c r="A119" s="2"/>
      <c r="B119" s="43" t="s">
        <v>67</v>
      </c>
      <c r="C119" s="100">
        <f>+H81</f>
        <v>0.21</v>
      </c>
      <c r="D119" s="61">
        <f>+C119</f>
        <v>0.21</v>
      </c>
      <c r="E119" s="82"/>
      <c r="F119" s="87"/>
      <c r="G119" s="87"/>
      <c r="H119" s="87"/>
      <c r="I119" s="43"/>
      <c r="J119" s="82"/>
    </row>
    <row r="120" spans="1:10" x14ac:dyDescent="0.2">
      <c r="A120" s="2"/>
      <c r="B120" s="47" t="s">
        <v>68</v>
      </c>
      <c r="C120" s="101">
        <f>+C118*(1-C119)</f>
        <v>18396.965123505663</v>
      </c>
      <c r="D120" s="102">
        <f>+D118*(1-D119)</f>
        <v>19684.752682151066</v>
      </c>
      <c r="E120" s="82"/>
      <c r="F120" s="87"/>
      <c r="G120" s="87"/>
      <c r="H120" s="87"/>
      <c r="I120" s="43"/>
      <c r="J120" s="82"/>
    </row>
    <row r="121" spans="1:10" x14ac:dyDescent="0.2">
      <c r="A121" s="2"/>
      <c r="B121" s="43" t="s">
        <v>69</v>
      </c>
      <c r="C121" s="64">
        <f>C117</f>
        <v>3989.7541799178866</v>
      </c>
      <c r="D121" s="95">
        <f>D117</f>
        <v>4269.0369725121391</v>
      </c>
      <c r="E121" s="82"/>
      <c r="F121" s="87"/>
      <c r="G121" s="87"/>
      <c r="H121" s="87"/>
      <c r="I121" s="43"/>
      <c r="J121" s="82"/>
    </row>
    <row r="122" spans="1:10" x14ac:dyDescent="0.2">
      <c r="A122" s="2"/>
      <c r="B122" s="47" t="s">
        <v>70</v>
      </c>
      <c r="C122" s="66">
        <f>+C120+C121</f>
        <v>22386.71930342355</v>
      </c>
      <c r="D122" s="67">
        <f>+D120+D121</f>
        <v>23953.789654663204</v>
      </c>
      <c r="E122" s="82"/>
      <c r="F122" s="87"/>
      <c r="G122" s="87"/>
      <c r="H122" s="87"/>
      <c r="I122" s="43"/>
      <c r="J122" s="82"/>
    </row>
    <row r="123" spans="1:10" x14ac:dyDescent="0.2">
      <c r="A123" s="2"/>
      <c r="B123" s="43"/>
      <c r="C123" s="53"/>
      <c r="D123" s="54"/>
      <c r="E123" s="82"/>
      <c r="F123" s="87"/>
      <c r="G123" s="87"/>
      <c r="H123" s="87"/>
      <c r="I123" s="43"/>
      <c r="J123" s="82"/>
    </row>
    <row r="124" spans="1:10" x14ac:dyDescent="0.2">
      <c r="A124" s="2"/>
      <c r="B124" s="43" t="s">
        <v>71</v>
      </c>
      <c r="C124" s="64">
        <f>+H86</f>
        <v>-7178.3731332448397</v>
      </c>
      <c r="D124" s="95">
        <f>+C124*(1+E124)</f>
        <v>-7680.8592525719787</v>
      </c>
      <c r="E124" s="96">
        <f>+$E$104</f>
        <v>7.0000000000000007E-2</v>
      </c>
      <c r="F124" s="87"/>
      <c r="G124" s="87"/>
      <c r="H124" s="87"/>
      <c r="I124" s="43"/>
      <c r="J124" s="82"/>
    </row>
    <row r="125" spans="1:10" x14ac:dyDescent="0.2">
      <c r="A125" s="2"/>
      <c r="B125" s="43" t="s">
        <v>72</v>
      </c>
      <c r="C125" s="73">
        <f>+H87</f>
        <v>-4027.7726590200309</v>
      </c>
      <c r="D125" s="74">
        <f>+C125</f>
        <v>-4027.7726590200309</v>
      </c>
      <c r="E125" s="96"/>
      <c r="F125" s="87"/>
      <c r="G125" s="87"/>
      <c r="H125" s="87"/>
      <c r="I125" s="43"/>
      <c r="J125" s="82"/>
    </row>
    <row r="126" spans="1:10" x14ac:dyDescent="0.2">
      <c r="A126" s="2"/>
      <c r="B126" s="47" t="s">
        <v>86</v>
      </c>
      <c r="C126" s="57">
        <f>+C122+C124+C125</f>
        <v>11180.573511158678</v>
      </c>
      <c r="D126" s="58">
        <f>+D122+D124+D125</f>
        <v>12245.157743071193</v>
      </c>
      <c r="E126" s="82"/>
      <c r="F126" s="87"/>
      <c r="G126" s="87"/>
      <c r="H126" s="87"/>
      <c r="I126" s="43"/>
      <c r="J126" s="82"/>
    </row>
    <row r="127" spans="1:10" x14ac:dyDescent="0.2">
      <c r="A127" s="2"/>
      <c r="B127" s="43"/>
      <c r="C127" s="53"/>
      <c r="D127" s="54"/>
      <c r="E127" s="82"/>
      <c r="F127" s="87"/>
      <c r="G127" s="87"/>
      <c r="H127" s="87"/>
      <c r="I127" s="43"/>
      <c r="J127" s="82"/>
    </row>
    <row r="128" spans="1:10" x14ac:dyDescent="0.2">
      <c r="A128" s="2"/>
      <c r="B128" s="43" t="s">
        <v>76</v>
      </c>
      <c r="C128" s="103">
        <f>+H92</f>
        <v>5</v>
      </c>
      <c r="D128" s="77">
        <f>+C128+1</f>
        <v>6</v>
      </c>
      <c r="E128" s="82"/>
      <c r="F128" s="87"/>
      <c r="G128" s="87"/>
      <c r="H128" s="87"/>
      <c r="I128" s="43"/>
      <c r="J128" s="82"/>
    </row>
    <row r="129" spans="1:10" x14ac:dyDescent="0.2">
      <c r="A129" s="2"/>
      <c r="B129" s="43" t="s">
        <v>77</v>
      </c>
      <c r="C129" s="104">
        <f>H93</f>
        <v>0.61459890003201589</v>
      </c>
      <c r="D129" s="78"/>
      <c r="E129" s="82"/>
      <c r="F129" s="87"/>
      <c r="G129" s="87"/>
      <c r="H129" s="87"/>
      <c r="I129" s="43"/>
      <c r="J129" s="82"/>
    </row>
    <row r="130" spans="1:10" x14ac:dyDescent="0.2">
      <c r="A130" s="2"/>
      <c r="B130" s="47" t="s">
        <v>87</v>
      </c>
      <c r="C130" s="53"/>
      <c r="D130" s="79">
        <f>+D126/($C$47-$E$104)</f>
        <v>379648.89834254299</v>
      </c>
      <c r="E130" s="82"/>
      <c r="F130" s="87"/>
      <c r="G130" s="87"/>
      <c r="H130" s="87"/>
      <c r="I130" s="43"/>
      <c r="J130" s="82"/>
    </row>
    <row r="131" spans="1:10" x14ac:dyDescent="0.2">
      <c r="A131" s="2"/>
      <c r="B131" s="47" t="s">
        <v>88</v>
      </c>
      <c r="C131" s="80"/>
      <c r="D131" s="86">
        <f>+D130*C129</f>
        <v>233331.79531969354</v>
      </c>
      <c r="E131" s="86"/>
      <c r="F131" s="87"/>
      <c r="G131" s="87"/>
      <c r="H131" s="87"/>
      <c r="I131" s="43"/>
      <c r="J131" s="82"/>
    </row>
    <row r="132" spans="1:10" x14ac:dyDescent="0.2">
      <c r="A132" s="2"/>
      <c r="B132" s="2"/>
      <c r="C132" s="2"/>
      <c r="D132" s="86"/>
      <c r="E132" s="86"/>
      <c r="F132" s="87"/>
      <c r="G132" s="87"/>
      <c r="H132" s="87"/>
      <c r="I132" s="43"/>
      <c r="J132" s="82"/>
    </row>
    <row r="133" spans="1:10" x14ac:dyDescent="0.2">
      <c r="A133" s="2"/>
      <c r="B133" s="47" t="s">
        <v>89</v>
      </c>
      <c r="C133" s="83">
        <f>+D131</f>
        <v>233331.79531969354</v>
      </c>
      <c r="D133" s="86"/>
      <c r="E133" s="86"/>
      <c r="F133" s="87"/>
      <c r="G133" s="87"/>
      <c r="H133" s="87"/>
      <c r="I133" s="43"/>
      <c r="J133" s="82"/>
    </row>
    <row r="134" spans="1:10" x14ac:dyDescent="0.2">
      <c r="A134" s="2"/>
      <c r="B134" s="84" t="s">
        <v>80</v>
      </c>
      <c r="C134" s="85">
        <f>$C$21</f>
        <v>2507</v>
      </c>
      <c r="D134" s="86"/>
      <c r="E134" s="86"/>
      <c r="F134" s="87"/>
      <c r="G134" s="87"/>
      <c r="H134" s="87"/>
      <c r="I134" s="43"/>
      <c r="J134" s="82"/>
    </row>
    <row r="135" spans="1:10" x14ac:dyDescent="0.2">
      <c r="A135" s="2"/>
      <c r="B135" s="341" t="s">
        <v>81</v>
      </c>
      <c r="C135" s="340">
        <f>+C133/C134</f>
        <v>93.072116202510387</v>
      </c>
      <c r="D135" s="86"/>
      <c r="E135" s="86"/>
      <c r="F135" s="87"/>
      <c r="G135" s="87"/>
      <c r="H135" s="87"/>
      <c r="I135" s="43"/>
      <c r="J135" s="82"/>
    </row>
    <row r="136" spans="1:10" x14ac:dyDescent="0.2">
      <c r="A136" s="2"/>
      <c r="B136" s="2"/>
      <c r="C136" s="2"/>
      <c r="D136" s="89" t="s">
        <v>90</v>
      </c>
      <c r="E136" s="86"/>
      <c r="F136" s="87"/>
      <c r="G136" s="87"/>
      <c r="H136" s="87"/>
      <c r="I136" s="43"/>
      <c r="J136" s="82"/>
    </row>
    <row r="137" spans="1:10" x14ac:dyDescent="0.2">
      <c r="A137" s="2"/>
      <c r="B137" s="84" t="str">
        <f>+B96</f>
        <v>NPV of FY23 - FY27 Free Cash Flow</v>
      </c>
      <c r="C137" s="105">
        <f>+C96</f>
        <v>25173.18541531972</v>
      </c>
      <c r="D137" s="106">
        <f>+C137/$C$139</f>
        <v>9.7379885461952073E-2</v>
      </c>
      <c r="E137" s="86"/>
      <c r="F137" s="87"/>
      <c r="G137" s="87"/>
      <c r="H137" s="87"/>
      <c r="I137" s="43"/>
      <c r="J137" s="82"/>
    </row>
    <row r="138" spans="1:10" x14ac:dyDescent="0.2">
      <c r="A138" s="2"/>
      <c r="B138" s="84" t="str">
        <f>+B133</f>
        <v>NPV of Terminal Value</v>
      </c>
      <c r="C138" s="107">
        <f>+C133</f>
        <v>233331.79531969354</v>
      </c>
      <c r="D138" s="108">
        <f>+C138/$C$139</f>
        <v>0.90262011453804791</v>
      </c>
      <c r="E138" s="87"/>
      <c r="F138" s="87"/>
      <c r="G138" s="87"/>
      <c r="H138" s="87"/>
      <c r="I138" s="43"/>
      <c r="J138" s="82"/>
    </row>
    <row r="139" spans="1:10" x14ac:dyDescent="0.2">
      <c r="A139" s="2"/>
      <c r="B139" s="24" t="s">
        <v>91</v>
      </c>
      <c r="C139" s="109">
        <f>SUM(C137:C138)</f>
        <v>258504.98073501326</v>
      </c>
      <c r="D139" s="106">
        <f>+C139/$C$139</f>
        <v>1</v>
      </c>
      <c r="E139" s="86"/>
      <c r="F139" s="87"/>
      <c r="G139" s="87"/>
      <c r="H139" s="87"/>
      <c r="I139" s="43"/>
      <c r="J139" s="82"/>
    </row>
    <row r="140" spans="1:10" x14ac:dyDescent="0.2">
      <c r="A140" s="2"/>
      <c r="B140" s="110" t="s">
        <v>92</v>
      </c>
      <c r="C140" s="111">
        <f>+C139/D76</f>
        <v>27.750872426894759</v>
      </c>
      <c r="D140" s="86"/>
      <c r="E140" s="86"/>
      <c r="F140" s="87"/>
      <c r="G140" s="87"/>
      <c r="H140" s="87"/>
      <c r="I140" s="43"/>
      <c r="J140" s="82"/>
    </row>
    <row r="141" spans="1:10" x14ac:dyDescent="0.2">
      <c r="A141" s="2"/>
      <c r="B141" s="110" t="s">
        <v>93</v>
      </c>
      <c r="C141" s="111">
        <f>+C139/H76</f>
        <v>9.477013226603086</v>
      </c>
      <c r="D141" s="86"/>
      <c r="E141" s="86"/>
      <c r="F141" s="87"/>
      <c r="G141" s="87"/>
      <c r="H141" s="87"/>
      <c r="I141" s="43"/>
      <c r="J141" s="82"/>
    </row>
    <row r="142" spans="1:10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x14ac:dyDescent="0.2">
      <c r="A143" s="2"/>
      <c r="B143" s="8" t="s">
        <v>94</v>
      </c>
      <c r="C143" s="8"/>
      <c r="D143" s="8"/>
      <c r="E143" s="8"/>
      <c r="F143" s="8"/>
      <c r="G143" s="8"/>
      <c r="H143" s="8"/>
      <c r="I143" s="8"/>
      <c r="J143" s="8"/>
    </row>
    <row r="144" spans="1:10" x14ac:dyDescent="0.2">
      <c r="A144" s="2"/>
      <c r="B144" s="2"/>
      <c r="C144" s="2"/>
      <c r="D144" s="2"/>
      <c r="E144" s="2"/>
      <c r="F144" s="2"/>
      <c r="G144" s="87"/>
      <c r="H144" s="87"/>
      <c r="I144" s="87"/>
      <c r="J144" s="43"/>
    </row>
    <row r="145" spans="1:10" x14ac:dyDescent="0.2">
      <c r="A145" s="2"/>
      <c r="B145" s="47"/>
      <c r="C145" s="88" t="s">
        <v>95</v>
      </c>
      <c r="D145" s="88" t="s">
        <v>96</v>
      </c>
      <c r="E145" s="86"/>
      <c r="F145" s="86"/>
      <c r="G145" s="87"/>
      <c r="H145" s="87"/>
      <c r="I145" s="87"/>
      <c r="J145" s="43"/>
    </row>
    <row r="146" spans="1:10" x14ac:dyDescent="0.2">
      <c r="A146" s="2"/>
      <c r="B146" s="112" t="s">
        <v>97</v>
      </c>
      <c r="C146" s="89" t="s">
        <v>98</v>
      </c>
      <c r="D146" s="89" t="s">
        <v>98</v>
      </c>
      <c r="E146" s="89" t="s">
        <v>99</v>
      </c>
      <c r="F146" s="89" t="s">
        <v>100</v>
      </c>
      <c r="G146" s="87"/>
      <c r="H146" s="87"/>
      <c r="I146" s="87"/>
      <c r="J146" s="43"/>
    </row>
    <row r="147" spans="1:10" x14ac:dyDescent="0.2">
      <c r="A147" s="2"/>
      <c r="B147" s="43" t="s">
        <v>101</v>
      </c>
      <c r="C147" s="113">
        <v>1250</v>
      </c>
      <c r="D147" s="113"/>
      <c r="E147" s="114">
        <v>4.1000000000000003E-3</v>
      </c>
      <c r="F147" s="115">
        <f t="shared" ref="F147:F155" si="17">+E147*C147</f>
        <v>5.125</v>
      </c>
      <c r="G147" s="87"/>
      <c r="H147" s="87"/>
      <c r="I147" s="87"/>
      <c r="J147" s="43"/>
    </row>
    <row r="148" spans="1:10" x14ac:dyDescent="0.2">
      <c r="A148" s="2"/>
      <c r="B148" s="43" t="s">
        <v>102</v>
      </c>
      <c r="C148" s="116">
        <v>1250</v>
      </c>
      <c r="D148" s="116"/>
      <c r="E148" s="114">
        <v>6.6E-3</v>
      </c>
      <c r="F148" s="117">
        <f t="shared" si="17"/>
        <v>8.25</v>
      </c>
      <c r="G148" s="87"/>
      <c r="H148" s="87"/>
      <c r="I148" s="87"/>
      <c r="J148" s="43"/>
    </row>
    <row r="149" spans="1:10" x14ac:dyDescent="0.2">
      <c r="A149" s="2"/>
      <c r="B149" s="43" t="s">
        <v>103</v>
      </c>
      <c r="C149" s="116">
        <v>1000</v>
      </c>
      <c r="D149" s="116"/>
      <c r="E149" s="114">
        <v>3.3099999999999997E-2</v>
      </c>
      <c r="F149" s="117">
        <f t="shared" si="17"/>
        <v>33.099999999999994</v>
      </c>
      <c r="G149" s="87"/>
      <c r="H149" s="87"/>
      <c r="I149" s="87"/>
      <c r="J149" s="43"/>
    </row>
    <row r="150" spans="1:10" x14ac:dyDescent="0.2">
      <c r="A150" s="2"/>
      <c r="B150" s="43" t="s">
        <v>104</v>
      </c>
      <c r="C150" s="116">
        <v>1250</v>
      </c>
      <c r="D150" s="116"/>
      <c r="E150" s="114">
        <v>1.6400000000000001E-2</v>
      </c>
      <c r="F150" s="117">
        <f t="shared" si="17"/>
        <v>20.5</v>
      </c>
      <c r="G150" s="87"/>
      <c r="H150" s="87"/>
      <c r="I150" s="87"/>
      <c r="J150" s="43"/>
    </row>
    <row r="151" spans="1:10" x14ac:dyDescent="0.2">
      <c r="A151" s="2"/>
      <c r="B151" s="43" t="s">
        <v>105</v>
      </c>
      <c r="C151" s="116">
        <v>1500</v>
      </c>
      <c r="D151" s="116"/>
      <c r="E151" s="114">
        <v>2.93E-2</v>
      </c>
      <c r="F151" s="117">
        <f t="shared" si="17"/>
        <v>43.95</v>
      </c>
      <c r="G151" s="87"/>
      <c r="H151" s="87"/>
      <c r="I151" s="87"/>
      <c r="J151" s="43"/>
    </row>
    <row r="152" spans="1:10" x14ac:dyDescent="0.2">
      <c r="A152" s="2"/>
      <c r="B152" s="43" t="s">
        <v>106</v>
      </c>
      <c r="C152" s="116">
        <v>1250</v>
      </c>
      <c r="D152" s="116"/>
      <c r="E152" s="114">
        <v>2.0899999999999998E-2</v>
      </c>
      <c r="F152" s="117">
        <f t="shared" si="17"/>
        <v>26.124999999999996</v>
      </c>
      <c r="G152" s="87"/>
      <c r="H152" s="87"/>
      <c r="I152" s="87"/>
      <c r="J152" s="43"/>
    </row>
    <row r="153" spans="1:10" x14ac:dyDescent="0.2">
      <c r="A153" s="2"/>
      <c r="B153" s="43" t="s">
        <v>107</v>
      </c>
      <c r="C153" s="116">
        <v>1000</v>
      </c>
      <c r="D153" s="116"/>
      <c r="E153" s="114">
        <v>3.5400000000000001E-2</v>
      </c>
      <c r="F153" s="117">
        <f t="shared" si="17"/>
        <v>35.4</v>
      </c>
      <c r="G153" s="87"/>
      <c r="H153" s="87"/>
      <c r="I153" s="87"/>
      <c r="J153" s="43"/>
    </row>
    <row r="154" spans="1:10" x14ac:dyDescent="0.2">
      <c r="A154" s="2"/>
      <c r="B154" s="43" t="s">
        <v>108</v>
      </c>
      <c r="C154" s="116">
        <v>2000</v>
      </c>
      <c r="D154" s="116"/>
      <c r="E154" s="114">
        <v>3.5400000000000001E-2</v>
      </c>
      <c r="F154" s="117">
        <f t="shared" si="17"/>
        <v>70.8</v>
      </c>
      <c r="G154" s="87"/>
      <c r="H154" s="87"/>
      <c r="I154" s="87"/>
      <c r="J154" s="43"/>
    </row>
    <row r="155" spans="1:10" x14ac:dyDescent="0.2">
      <c r="A155" s="2"/>
      <c r="B155" s="43" t="s">
        <v>109</v>
      </c>
      <c r="C155" s="116">
        <v>500</v>
      </c>
      <c r="D155" s="116"/>
      <c r="E155" s="114">
        <v>3.73E-2</v>
      </c>
      <c r="F155" s="117">
        <f t="shared" si="17"/>
        <v>18.649999999999999</v>
      </c>
      <c r="G155" s="87"/>
      <c r="H155" s="87"/>
      <c r="I155" s="87"/>
      <c r="J155" s="43"/>
    </row>
    <row r="156" spans="1:10" x14ac:dyDescent="0.2">
      <c r="A156" s="2"/>
      <c r="B156" s="43" t="s">
        <v>110</v>
      </c>
      <c r="C156" s="116">
        <v>-47</v>
      </c>
      <c r="D156" s="116"/>
      <c r="E156" s="114"/>
      <c r="F156" s="117"/>
      <c r="G156" s="87"/>
      <c r="H156" s="87"/>
      <c r="I156" s="87"/>
      <c r="J156" s="43"/>
    </row>
    <row r="157" spans="1:10" x14ac:dyDescent="0.2">
      <c r="A157" s="2"/>
      <c r="B157" s="47" t="s">
        <v>111</v>
      </c>
      <c r="C157" s="67">
        <f>SUM(C147:C156)</f>
        <v>10953</v>
      </c>
      <c r="D157" s="67">
        <f>SUM(D147:D155)</f>
        <v>0</v>
      </c>
      <c r="E157" s="342"/>
      <c r="F157" s="67">
        <f>SUM(F147:F155)</f>
        <v>261.89999999999998</v>
      </c>
      <c r="G157" s="87"/>
      <c r="H157" s="87"/>
      <c r="I157" s="87"/>
      <c r="J157" s="43"/>
    </row>
    <row r="158" spans="1:10" x14ac:dyDescent="0.2">
      <c r="A158" s="2"/>
      <c r="B158" s="2"/>
      <c r="C158" s="2"/>
      <c r="D158" s="80"/>
      <c r="E158" s="106"/>
      <c r="F158" s="86"/>
      <c r="G158" s="87"/>
      <c r="H158" s="87"/>
      <c r="I158" s="87"/>
      <c r="J158" s="43"/>
    </row>
    <row r="159" spans="1:10" x14ac:dyDescent="0.2">
      <c r="A159" s="2"/>
      <c r="B159" s="119" t="s">
        <v>112</v>
      </c>
      <c r="C159" s="80"/>
      <c r="D159" s="80"/>
      <c r="E159" s="106"/>
      <c r="F159" s="86"/>
      <c r="G159" s="87"/>
      <c r="H159" s="87"/>
      <c r="I159" s="87"/>
      <c r="J159" s="43"/>
    </row>
    <row r="160" spans="1:10" x14ac:dyDescent="0.2">
      <c r="A160" s="2"/>
      <c r="B160" s="43" t="s">
        <v>113</v>
      </c>
      <c r="C160" s="75">
        <f>'P&amp;L'!E58</f>
        <v>3389</v>
      </c>
      <c r="D160" s="80"/>
      <c r="E160" s="106"/>
      <c r="F160" s="86"/>
      <c r="G160" s="87"/>
      <c r="H160" s="87"/>
      <c r="I160" s="87"/>
      <c r="J160" s="43"/>
    </row>
    <row r="161" spans="1:10" x14ac:dyDescent="0.2">
      <c r="A161" s="2"/>
      <c r="B161" s="43" t="s">
        <v>114</v>
      </c>
      <c r="C161" s="118">
        <v>-1000</v>
      </c>
      <c r="D161" s="80" t="s">
        <v>115</v>
      </c>
      <c r="E161" s="106"/>
      <c r="F161" s="86"/>
      <c r="G161" s="87"/>
      <c r="H161" s="87"/>
      <c r="I161" s="87"/>
      <c r="J161" s="43"/>
    </row>
    <row r="162" spans="1:10" x14ac:dyDescent="0.2">
      <c r="A162" s="2"/>
      <c r="B162" s="43" t="s">
        <v>116</v>
      </c>
      <c r="C162" s="120">
        <f>+C160+C161</f>
        <v>2389</v>
      </c>
      <c r="D162" s="80"/>
      <c r="E162" s="106"/>
      <c r="F162" s="86"/>
      <c r="G162" s="87"/>
      <c r="H162" s="87"/>
      <c r="I162" s="87"/>
      <c r="J162" s="43"/>
    </row>
    <row r="163" spans="1:10" x14ac:dyDescent="0.2">
      <c r="A163" s="2"/>
      <c r="B163" s="43"/>
      <c r="C163" s="80"/>
      <c r="D163" s="80"/>
      <c r="E163" s="106"/>
      <c r="F163" s="86"/>
      <c r="G163" s="87"/>
      <c r="H163" s="87"/>
      <c r="I163" s="87"/>
      <c r="J163" s="43"/>
    </row>
    <row r="164" spans="1:10" x14ac:dyDescent="0.2">
      <c r="A164" s="2"/>
      <c r="B164" s="43" t="s">
        <v>117</v>
      </c>
      <c r="C164" s="95">
        <f>+C157</f>
        <v>10953</v>
      </c>
      <c r="D164" s="80"/>
      <c r="E164" s="106"/>
      <c r="F164" s="86"/>
      <c r="G164" s="87"/>
      <c r="H164" s="87"/>
      <c r="I164" s="87"/>
      <c r="J164" s="43"/>
    </row>
    <row r="165" spans="1:10" x14ac:dyDescent="0.2">
      <c r="A165" s="2"/>
      <c r="B165" s="43" t="s">
        <v>118</v>
      </c>
      <c r="C165" s="74">
        <f>-C162</f>
        <v>-2389</v>
      </c>
      <c r="D165" s="80"/>
      <c r="E165" s="106"/>
      <c r="F165" s="86"/>
      <c r="G165" s="87"/>
      <c r="H165" s="87"/>
      <c r="I165" s="87"/>
      <c r="J165" s="43"/>
    </row>
    <row r="166" spans="1:10" x14ac:dyDescent="0.2">
      <c r="A166" s="2"/>
      <c r="B166" s="43" t="s">
        <v>119</v>
      </c>
      <c r="C166" s="120">
        <f>+C157+C165</f>
        <v>8564</v>
      </c>
      <c r="D166" s="80"/>
      <c r="E166" s="106"/>
      <c r="F166" s="86"/>
      <c r="G166" s="87"/>
      <c r="H166" s="87"/>
      <c r="I166" s="87"/>
      <c r="J166" s="43"/>
    </row>
    <row r="167" spans="1:10" x14ac:dyDescent="0.2">
      <c r="A167" s="2"/>
      <c r="B167" s="43"/>
      <c r="C167" s="80"/>
      <c r="D167" s="80"/>
      <c r="E167" s="106"/>
      <c r="F167" s="86"/>
      <c r="G167" s="87"/>
      <c r="H167" s="87"/>
      <c r="I167" s="87"/>
      <c r="J167" s="43"/>
    </row>
    <row r="168" spans="1:10" x14ac:dyDescent="0.2">
      <c r="A168" s="2"/>
      <c r="B168" s="119" t="s">
        <v>120</v>
      </c>
      <c r="C168" s="80"/>
      <c r="D168" s="105"/>
      <c r="E168" s="106"/>
      <c r="F168" s="86"/>
      <c r="G168" s="87"/>
      <c r="H168" s="87"/>
      <c r="I168" s="87"/>
      <c r="J168" s="43"/>
    </row>
    <row r="169" spans="1:10" x14ac:dyDescent="0.2">
      <c r="A169" s="2"/>
      <c r="B169" s="43" t="s">
        <v>121</v>
      </c>
      <c r="C169" s="95">
        <f>+C139</f>
        <v>258504.98073501326</v>
      </c>
      <c r="D169" s="105"/>
      <c r="E169" s="106"/>
      <c r="F169" s="86"/>
      <c r="G169" s="87"/>
      <c r="H169" s="87"/>
      <c r="I169" s="87"/>
      <c r="J169" s="121"/>
    </row>
    <row r="170" spans="1:10" x14ac:dyDescent="0.2">
      <c r="A170" s="2"/>
      <c r="B170" s="43" t="s">
        <v>122</v>
      </c>
      <c r="C170" s="74">
        <f>-C166</f>
        <v>-8564</v>
      </c>
      <c r="D170" s="2"/>
      <c r="E170" s="15"/>
      <c r="F170" s="2"/>
      <c r="G170" s="2"/>
      <c r="H170" s="2"/>
      <c r="I170" s="2"/>
      <c r="J170" s="2"/>
    </row>
    <row r="171" spans="1:10" x14ac:dyDescent="0.2">
      <c r="A171" s="2"/>
      <c r="B171" s="43" t="s">
        <v>123</v>
      </c>
      <c r="C171" s="122">
        <f>+C169+C170</f>
        <v>249940.98073501326</v>
      </c>
      <c r="D171" s="15"/>
      <c r="E171" s="2"/>
      <c r="F171" s="2"/>
      <c r="G171" s="2"/>
      <c r="H171" s="2"/>
      <c r="I171" s="2"/>
      <c r="J171" s="2"/>
    </row>
    <row r="172" spans="1:10" x14ac:dyDescent="0.2">
      <c r="A172" s="2"/>
      <c r="B172" s="43"/>
      <c r="C172" s="2"/>
      <c r="D172" s="15"/>
      <c r="E172" s="2"/>
      <c r="F172" s="2"/>
      <c r="G172" s="2"/>
      <c r="H172" s="2"/>
      <c r="I172" s="2"/>
      <c r="J172" s="2"/>
    </row>
    <row r="173" spans="1:10" x14ac:dyDescent="0.2">
      <c r="A173" s="2"/>
      <c r="B173" s="123" t="s">
        <v>80</v>
      </c>
      <c r="C173" s="85">
        <f>$C$21</f>
        <v>2507</v>
      </c>
      <c r="D173" s="15"/>
      <c r="E173" s="2"/>
      <c r="F173" s="2"/>
      <c r="G173" s="2"/>
      <c r="H173" s="2"/>
      <c r="I173" s="2"/>
      <c r="J173" s="2"/>
    </row>
    <row r="174" spans="1:10" x14ac:dyDescent="0.2">
      <c r="A174" s="2"/>
      <c r="B174" s="24" t="s">
        <v>124</v>
      </c>
      <c r="C174" s="124">
        <f>+C171/C173</f>
        <v>99.697240021943855</v>
      </c>
      <c r="D174" s="2"/>
      <c r="E174" s="2"/>
      <c r="F174" s="2"/>
      <c r="G174" s="2"/>
      <c r="H174" s="2"/>
      <c r="I174" s="2"/>
      <c r="J174" s="2"/>
    </row>
    <row r="175" spans="1:10" x14ac:dyDescent="0.2">
      <c r="A175" s="2"/>
      <c r="B175" s="50" t="s">
        <v>125</v>
      </c>
      <c r="C175" s="125">
        <f>+C174/C7-1</f>
        <v>-0.7944768186894311</v>
      </c>
      <c r="D175" s="2"/>
      <c r="E175" s="2"/>
      <c r="F175" s="2"/>
      <c r="G175" s="2"/>
      <c r="H175" s="2"/>
      <c r="I175" s="2"/>
      <c r="J175" s="2"/>
    </row>
    <row r="176" spans="1:10" x14ac:dyDescent="0.2">
      <c r="A176" s="2"/>
      <c r="B176" s="43"/>
      <c r="C176" s="2"/>
      <c r="D176" s="2"/>
      <c r="E176" s="2"/>
      <c r="F176" s="2"/>
      <c r="G176" s="2"/>
      <c r="H176" s="2"/>
      <c r="I176" s="2"/>
      <c r="J176" s="2"/>
    </row>
    <row r="177" spans="1:10" x14ac:dyDescent="0.2">
      <c r="A177" s="2"/>
      <c r="B177" s="8" t="s">
        <v>126</v>
      </c>
      <c r="C177" s="8"/>
      <c r="D177" s="8"/>
      <c r="E177" s="8"/>
      <c r="F177" s="8"/>
      <c r="G177" s="8"/>
      <c r="H177" s="8"/>
      <c r="I177" s="8"/>
      <c r="J177" s="8"/>
    </row>
    <row r="178" spans="1:10" x14ac:dyDescent="0.2">
      <c r="A178" s="2"/>
      <c r="B178" s="126" t="s">
        <v>127</v>
      </c>
      <c r="C178" s="2"/>
      <c r="D178" s="2"/>
      <c r="E178" s="127" t="s">
        <v>128</v>
      </c>
      <c r="F178" s="128"/>
      <c r="G178" s="128"/>
      <c r="H178" s="128"/>
      <c r="I178" s="128"/>
      <c r="J178" s="2"/>
    </row>
    <row r="179" spans="1:10" x14ac:dyDescent="0.2">
      <c r="A179" s="2"/>
      <c r="B179" s="2"/>
      <c r="C179" s="2"/>
      <c r="D179" s="129">
        <f>$C$139</f>
        <v>258504.98073501326</v>
      </c>
      <c r="E179" s="130">
        <f>+F179-0.005</f>
        <v>6.0000000000000005E-2</v>
      </c>
      <c r="F179" s="130">
        <f>+G179-0.005</f>
        <v>6.5000000000000002E-2</v>
      </c>
      <c r="G179" s="131">
        <f>E104</f>
        <v>7.0000000000000007E-2</v>
      </c>
      <c r="H179" s="130">
        <f>+G179+0.005</f>
        <v>7.5000000000000011E-2</v>
      </c>
      <c r="I179" s="130">
        <f>+H179+0.005</f>
        <v>8.0000000000000016E-2</v>
      </c>
      <c r="J179" s="2"/>
    </row>
    <row r="180" spans="1:10" x14ac:dyDescent="0.2">
      <c r="A180" s="2"/>
      <c r="B180" s="2"/>
      <c r="C180" s="356" t="s">
        <v>129</v>
      </c>
      <c r="D180" s="132">
        <f>+D181-0.005</f>
        <v>9.2253900370923361E-2</v>
      </c>
      <c r="E180" s="133">
        <f t="dataTable" ref="E180:I184" dt2D="1" dtr="1" r1="E104" r2="C47" ca="1"/>
        <v>267129.48892833205</v>
      </c>
      <c r="F180" s="133">
        <v>233447.09161538121</v>
      </c>
      <c r="G180" s="133">
        <v>233447.09161538121</v>
      </c>
      <c r="H180" s="133">
        <v>267129.48892833205</v>
      </c>
      <c r="I180" s="133">
        <v>379900.79219075094</v>
      </c>
      <c r="J180" s="2"/>
    </row>
    <row r="181" spans="1:10" x14ac:dyDescent="0.2">
      <c r="A181" s="2"/>
      <c r="B181" s="2"/>
      <c r="C181" s="357"/>
      <c r="D181" s="134">
        <f>+D182-0.005</f>
        <v>9.7253900370923366E-2</v>
      </c>
      <c r="E181" s="133">
        <v>318402.30501721217</v>
      </c>
      <c r="F181" s="135">
        <v>271577.40492172533</v>
      </c>
      <c r="G181" s="136">
        <v>271577.40492172533</v>
      </c>
      <c r="H181" s="137">
        <v>318402.30501721217</v>
      </c>
      <c r="I181" s="133">
        <v>493468.30517836317</v>
      </c>
      <c r="J181" s="2"/>
    </row>
    <row r="182" spans="1:10" x14ac:dyDescent="0.2">
      <c r="A182" s="2"/>
      <c r="B182" s="2"/>
      <c r="C182" s="357"/>
      <c r="D182" s="138">
        <f>C47</f>
        <v>0.10225390037092337</v>
      </c>
      <c r="E182" s="133">
        <v>318402.30501721217</v>
      </c>
      <c r="F182" s="139">
        <v>271577.40492172533</v>
      </c>
      <c r="G182" s="140">
        <v>271577.40492172533</v>
      </c>
      <c r="H182" s="141">
        <v>318402.30501721217</v>
      </c>
      <c r="I182" s="133">
        <v>493468.30517836317</v>
      </c>
      <c r="J182" s="2"/>
    </row>
    <row r="183" spans="1:10" x14ac:dyDescent="0.2">
      <c r="A183" s="2"/>
      <c r="B183" s="2"/>
      <c r="C183" s="357"/>
      <c r="D183" s="134">
        <f>+D182+0.005</f>
        <v>0.10725390037092337</v>
      </c>
      <c r="E183" s="133">
        <v>267129.48892833205</v>
      </c>
      <c r="F183" s="142">
        <v>233447.09161538121</v>
      </c>
      <c r="G183" s="143">
        <v>233447.09161538121</v>
      </c>
      <c r="H183" s="144">
        <v>267129.48892833205</v>
      </c>
      <c r="I183" s="133">
        <v>379900.79219075094</v>
      </c>
      <c r="J183" s="2"/>
    </row>
    <row r="184" spans="1:10" x14ac:dyDescent="0.2">
      <c r="A184" s="2"/>
      <c r="B184" s="2"/>
      <c r="C184" s="357"/>
      <c r="D184" s="134">
        <f>+D183+0.005</f>
        <v>0.11225390037092338</v>
      </c>
      <c r="E184" s="133">
        <v>201071.50689784085</v>
      </c>
      <c r="F184" s="133">
        <v>181470.44192162505</v>
      </c>
      <c r="G184" s="133">
        <v>181470.44192162505</v>
      </c>
      <c r="H184" s="133">
        <v>201071.50689784085</v>
      </c>
      <c r="I184" s="133">
        <v>258504.98073501326</v>
      </c>
      <c r="J184" s="2"/>
    </row>
    <row r="185" spans="1:10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x14ac:dyDescent="0.2">
      <c r="A186" s="2"/>
      <c r="B186" s="126" t="s">
        <v>130</v>
      </c>
      <c r="C186" s="2"/>
      <c r="D186" s="2"/>
      <c r="E186" s="127" t="s">
        <v>128</v>
      </c>
      <c r="F186" s="128"/>
      <c r="G186" s="128"/>
      <c r="H186" s="128"/>
      <c r="I186" s="128"/>
      <c r="J186" s="2"/>
    </row>
    <row r="187" spans="1:10" x14ac:dyDescent="0.2">
      <c r="A187" s="2"/>
      <c r="B187" s="2"/>
      <c r="C187" s="2"/>
      <c r="D187" s="145">
        <f>+$C$141</f>
        <v>9.477013226603086</v>
      </c>
      <c r="E187" s="130">
        <f>+E179</f>
        <v>6.0000000000000005E-2</v>
      </c>
      <c r="F187" s="130">
        <f t="shared" ref="F187:I187" si="18">+F179</f>
        <v>6.5000000000000002E-2</v>
      </c>
      <c r="G187" s="131">
        <f>E104</f>
        <v>7.0000000000000007E-2</v>
      </c>
      <c r="H187" s="130">
        <f t="shared" si="18"/>
        <v>7.5000000000000011E-2</v>
      </c>
      <c r="I187" s="130">
        <f t="shared" si="18"/>
        <v>8.0000000000000016E-2</v>
      </c>
      <c r="J187" s="2"/>
    </row>
    <row r="188" spans="1:10" x14ac:dyDescent="0.2">
      <c r="A188" s="2"/>
      <c r="B188" s="2"/>
      <c r="C188" s="356" t="s">
        <v>129</v>
      </c>
      <c r="D188" s="132">
        <f>+D180</f>
        <v>9.2253900370923361E-2</v>
      </c>
      <c r="E188" s="146">
        <f t="dataTable" ref="E188:I192" dt2D="1" dtr="1" r1="E104" r2="C47" ca="1"/>
        <v>9.7931950579497435</v>
      </c>
      <c r="F188" s="146">
        <v>8.5583696246798606</v>
      </c>
      <c r="G188" s="146">
        <v>8.5583696246798606</v>
      </c>
      <c r="H188" s="146">
        <v>9.7931950579497435</v>
      </c>
      <c r="I188" s="146">
        <v>13.927487285358483</v>
      </c>
      <c r="J188" s="2"/>
    </row>
    <row r="189" spans="1:10" x14ac:dyDescent="0.2">
      <c r="A189" s="2"/>
      <c r="B189" s="2"/>
      <c r="C189" s="357"/>
      <c r="D189" s="134">
        <f t="shared" ref="D189:D192" si="19">+D181</f>
        <v>9.7253900370923366E-2</v>
      </c>
      <c r="E189" s="146">
        <v>11.672900256889802</v>
      </c>
      <c r="F189" s="147">
        <v>9.9562594545441652</v>
      </c>
      <c r="G189" s="148">
        <v>9.9562594545441652</v>
      </c>
      <c r="H189" s="149">
        <v>11.672900256889802</v>
      </c>
      <c r="I189" s="146">
        <v>18.090969240854289</v>
      </c>
      <c r="J189" s="2"/>
    </row>
    <row r="190" spans="1:10" x14ac:dyDescent="0.2">
      <c r="A190" s="2"/>
      <c r="B190" s="2"/>
      <c r="C190" s="357"/>
      <c r="D190" s="138">
        <f>C47</f>
        <v>0.10225390037092337</v>
      </c>
      <c r="E190" s="146">
        <v>11.672900256889802</v>
      </c>
      <c r="F190" s="150">
        <v>9.9562594545441652</v>
      </c>
      <c r="G190" s="151">
        <v>9.9562594545441652</v>
      </c>
      <c r="H190" s="152">
        <v>11.672900256889802</v>
      </c>
      <c r="I190" s="146">
        <v>18.090969240854289</v>
      </c>
      <c r="J190" s="2"/>
    </row>
    <row r="191" spans="1:10" x14ac:dyDescent="0.2">
      <c r="A191" s="2"/>
      <c r="B191" s="2"/>
      <c r="C191" s="357"/>
      <c r="D191" s="134">
        <f t="shared" si="19"/>
        <v>0.10725390037092337</v>
      </c>
      <c r="E191" s="146">
        <v>9.7931950579497435</v>
      </c>
      <c r="F191" s="153">
        <v>8.5583696246798606</v>
      </c>
      <c r="G191" s="154">
        <v>8.5583696246798606</v>
      </c>
      <c r="H191" s="155">
        <v>9.7931950579497435</v>
      </c>
      <c r="I191" s="146">
        <v>13.927487285358483</v>
      </c>
      <c r="J191" s="2"/>
    </row>
    <row r="192" spans="1:10" x14ac:dyDescent="0.2">
      <c r="A192" s="2"/>
      <c r="B192" s="2"/>
      <c r="C192" s="357"/>
      <c r="D192" s="134">
        <f t="shared" si="19"/>
        <v>0.11225390037092338</v>
      </c>
      <c r="E192" s="146">
        <v>7.3714530565164953</v>
      </c>
      <c r="F192" s="146">
        <v>6.6528612850661775</v>
      </c>
      <c r="G192" s="146">
        <v>6.6528612850661775</v>
      </c>
      <c r="H192" s="146">
        <v>7.3714530565164953</v>
      </c>
      <c r="I192" s="146">
        <v>9.477013226603086</v>
      </c>
      <c r="J192" s="2"/>
    </row>
    <row r="193" spans="1:10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x14ac:dyDescent="0.2">
      <c r="A194" s="2"/>
      <c r="B194" s="126" t="s">
        <v>131</v>
      </c>
      <c r="C194" s="2"/>
      <c r="D194" s="2"/>
      <c r="E194" s="127" t="s">
        <v>128</v>
      </c>
      <c r="F194" s="128"/>
      <c r="G194" s="128"/>
      <c r="H194" s="128"/>
      <c r="I194" s="128"/>
      <c r="J194" s="2"/>
    </row>
    <row r="195" spans="1:10" x14ac:dyDescent="0.2">
      <c r="A195" s="2"/>
      <c r="B195" s="2"/>
      <c r="C195" s="2"/>
      <c r="D195" s="343">
        <f>$C$174</f>
        <v>99.697240021943855</v>
      </c>
      <c r="E195" s="130">
        <f>+E187</f>
        <v>6.0000000000000005E-2</v>
      </c>
      <c r="F195" s="130">
        <f t="shared" ref="F195:I195" si="20">+F187</f>
        <v>6.5000000000000002E-2</v>
      </c>
      <c r="G195" s="131">
        <f>E104</f>
        <v>7.0000000000000007E-2</v>
      </c>
      <c r="H195" s="130">
        <f t="shared" si="20"/>
        <v>7.5000000000000011E-2</v>
      </c>
      <c r="I195" s="130">
        <f t="shared" si="20"/>
        <v>8.0000000000000016E-2</v>
      </c>
      <c r="J195" s="2"/>
    </row>
    <row r="196" spans="1:10" x14ac:dyDescent="0.2">
      <c r="A196" s="2"/>
      <c r="B196" s="2"/>
      <c r="C196" s="356" t="s">
        <v>129</v>
      </c>
      <c r="D196" s="132">
        <f>+D188</f>
        <v>9.2253900370923361E-2</v>
      </c>
      <c r="E196" s="156">
        <f t="dataTable" ref="E196:I200" dt2D="1" dtr="1" r1="E104" r2="C47" ca="1"/>
        <v>103.13741082103392</v>
      </c>
      <c r="F196" s="156">
        <v>89.7020708477787</v>
      </c>
      <c r="G196" s="156">
        <v>89.7020708477787</v>
      </c>
      <c r="H196" s="156">
        <v>103.13741082103392</v>
      </c>
      <c r="I196" s="156">
        <v>148.11998092969722</v>
      </c>
      <c r="J196" s="2"/>
    </row>
    <row r="197" spans="1:10" x14ac:dyDescent="0.2">
      <c r="A197" s="2"/>
      <c r="B197" s="2"/>
      <c r="C197" s="357"/>
      <c r="D197" s="134">
        <f t="shared" ref="D197:D200" si="21">+D189</f>
        <v>9.7253900370923366E-2</v>
      </c>
      <c r="E197" s="156">
        <v>123.58927204515842</v>
      </c>
      <c r="F197" s="157">
        <v>104.91160946219598</v>
      </c>
      <c r="G197" s="158">
        <v>104.91160946219598</v>
      </c>
      <c r="H197" s="159">
        <v>123.58927204515842</v>
      </c>
      <c r="I197" s="156">
        <v>193.42014566348749</v>
      </c>
      <c r="J197" s="2"/>
    </row>
    <row r="198" spans="1:10" x14ac:dyDescent="0.2">
      <c r="A198" s="2"/>
      <c r="B198" s="2"/>
      <c r="C198" s="357"/>
      <c r="D198" s="138">
        <f>C47</f>
        <v>0.10225390037092337</v>
      </c>
      <c r="E198" s="156">
        <v>123.58927204515842</v>
      </c>
      <c r="F198" s="160">
        <v>104.91160946219598</v>
      </c>
      <c r="G198" s="161">
        <v>104.91160946219598</v>
      </c>
      <c r="H198" s="162">
        <v>123.58927204515842</v>
      </c>
      <c r="I198" s="156">
        <v>193.42014566348749</v>
      </c>
      <c r="J198" s="2"/>
    </row>
    <row r="199" spans="1:10" x14ac:dyDescent="0.2">
      <c r="A199" s="2"/>
      <c r="B199" s="2"/>
      <c r="C199" s="357"/>
      <c r="D199" s="134">
        <f t="shared" si="21"/>
        <v>0.10725390037092337</v>
      </c>
      <c r="E199" s="156">
        <v>103.13741082103392</v>
      </c>
      <c r="F199" s="163">
        <v>89.7020708477787</v>
      </c>
      <c r="G199" s="164">
        <v>89.7020708477787</v>
      </c>
      <c r="H199" s="165">
        <v>103.13741082103392</v>
      </c>
      <c r="I199" s="156">
        <v>148.11998092969722</v>
      </c>
      <c r="J199" s="2"/>
    </row>
    <row r="200" spans="1:10" x14ac:dyDescent="0.2">
      <c r="A200" s="2"/>
      <c r="B200" s="2"/>
      <c r="C200" s="357"/>
      <c r="D200" s="134">
        <f t="shared" si="21"/>
        <v>0.11225390037092338</v>
      </c>
      <c r="E200" s="156">
        <v>76.787996369302292</v>
      </c>
      <c r="F200" s="156">
        <v>68.969462274282037</v>
      </c>
      <c r="G200" s="156">
        <v>68.969462274282037</v>
      </c>
      <c r="H200" s="156">
        <v>76.787996369302292</v>
      </c>
      <c r="I200" s="156">
        <v>99.697240021943855</v>
      </c>
      <c r="J200" s="2"/>
    </row>
    <row r="201" spans="1:10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x14ac:dyDescent="0.2">
      <c r="A202" s="2"/>
      <c r="B202" s="126" t="s">
        <v>132</v>
      </c>
      <c r="C202" s="2"/>
      <c r="D202" s="2"/>
      <c r="E202" s="127" t="s">
        <v>128</v>
      </c>
      <c r="F202" s="128"/>
      <c r="G202" s="128"/>
      <c r="H202" s="128"/>
      <c r="I202" s="128"/>
      <c r="J202" s="2"/>
    </row>
    <row r="203" spans="1:10" x14ac:dyDescent="0.2">
      <c r="A203" s="2"/>
      <c r="B203" s="2"/>
      <c r="C203" s="2"/>
      <c r="D203" s="145">
        <f>+$C$140</f>
        <v>27.750872426894759</v>
      </c>
      <c r="E203" s="130">
        <f>+E195</f>
        <v>6.0000000000000005E-2</v>
      </c>
      <c r="F203" s="130">
        <f t="shared" ref="F203:I203" si="22">+F195</f>
        <v>6.5000000000000002E-2</v>
      </c>
      <c r="G203" s="131">
        <f>E104</f>
        <v>7.0000000000000007E-2</v>
      </c>
      <c r="H203" s="130">
        <f t="shared" si="22"/>
        <v>7.5000000000000011E-2</v>
      </c>
      <c r="I203" s="130">
        <f t="shared" si="22"/>
        <v>8.0000000000000016E-2</v>
      </c>
      <c r="J203" s="2"/>
    </row>
    <row r="204" spans="1:10" x14ac:dyDescent="0.2">
      <c r="A204" s="2"/>
      <c r="B204" s="2"/>
      <c r="C204" s="356" t="s">
        <v>129</v>
      </c>
      <c r="D204" s="132">
        <f>+D196</f>
        <v>9.2253900370923361E-2</v>
      </c>
      <c r="E204" s="146">
        <f t="dataTable" ref="E204:I208" dt2D="1" dtr="1" r1="E104" r2="C47" ca="1"/>
        <v>28.676725483717821</v>
      </c>
      <c r="F204" s="146">
        <v>25.060872867625157</v>
      </c>
      <c r="G204" s="146">
        <v>25.060872867625157</v>
      </c>
      <c r="H204" s="146">
        <v>28.676725483717821</v>
      </c>
      <c r="I204" s="146">
        <v>40.782883134343585</v>
      </c>
      <c r="J204" s="2"/>
    </row>
    <row r="205" spans="1:10" x14ac:dyDescent="0.2">
      <c r="A205" s="2"/>
      <c r="B205" s="2"/>
      <c r="C205" s="357"/>
      <c r="D205" s="134">
        <f t="shared" ref="D205:D208" si="23">+D197</f>
        <v>9.7253900370923366E-2</v>
      </c>
      <c r="E205" s="146">
        <v>34.180934239017169</v>
      </c>
      <c r="F205" s="147">
        <v>29.154215507110177</v>
      </c>
      <c r="G205" s="148">
        <v>29.154215507110177</v>
      </c>
      <c r="H205" s="149">
        <v>34.180934239017169</v>
      </c>
      <c r="I205" s="146">
        <v>52.974515016243615</v>
      </c>
      <c r="J205" s="2"/>
    </row>
    <row r="206" spans="1:10" x14ac:dyDescent="0.2">
      <c r="A206" s="2"/>
      <c r="B206" s="2"/>
      <c r="C206" s="357"/>
      <c r="D206" s="138">
        <f>C47</f>
        <v>0.10225390037092337</v>
      </c>
      <c r="E206" s="146">
        <v>34.180934239017169</v>
      </c>
      <c r="F206" s="150">
        <v>29.154215507110177</v>
      </c>
      <c r="G206" s="151">
        <v>29.154215507110177</v>
      </c>
      <c r="H206" s="152">
        <v>34.180934239017169</v>
      </c>
      <c r="I206" s="146">
        <v>52.974515016243615</v>
      </c>
      <c r="J206" s="2"/>
    </row>
    <row r="207" spans="1:10" x14ac:dyDescent="0.2">
      <c r="A207" s="2"/>
      <c r="B207" s="2"/>
      <c r="C207" s="357"/>
      <c r="D207" s="134">
        <f t="shared" si="23"/>
        <v>0.10725390037092337</v>
      </c>
      <c r="E207" s="146">
        <v>28.676725483717821</v>
      </c>
      <c r="F207" s="153">
        <v>25.060872867625157</v>
      </c>
      <c r="G207" s="154">
        <v>25.060872867625157</v>
      </c>
      <c r="H207" s="155">
        <v>28.676725483717821</v>
      </c>
      <c r="I207" s="146">
        <v>40.782883134343585</v>
      </c>
      <c r="J207" s="2"/>
    </row>
    <row r="208" spans="1:10" x14ac:dyDescent="0.2">
      <c r="A208" s="2"/>
      <c r="B208" s="2"/>
      <c r="C208" s="357"/>
      <c r="D208" s="134">
        <f t="shared" si="23"/>
        <v>0.11225390037092338</v>
      </c>
      <c r="E208" s="146">
        <v>21.585308417423846</v>
      </c>
      <c r="F208" s="146">
        <v>19.48110658719364</v>
      </c>
      <c r="G208" s="146">
        <v>19.48110658719364</v>
      </c>
      <c r="H208" s="146">
        <v>21.585308417423846</v>
      </c>
      <c r="I208" s="146">
        <v>27.750872426894759</v>
      </c>
      <c r="J208" s="2"/>
    </row>
    <row r="209" spans="1:10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x14ac:dyDescent="0.2">
      <c r="A210" s="2"/>
      <c r="B210" s="126" t="s">
        <v>133</v>
      </c>
      <c r="C210" s="2"/>
      <c r="D210" s="2"/>
      <c r="E210" s="127" t="s">
        <v>128</v>
      </c>
      <c r="F210" s="128"/>
      <c r="G210" s="128"/>
      <c r="H210" s="128"/>
      <c r="I210" s="128"/>
      <c r="J210" s="2"/>
    </row>
    <row r="211" spans="1:10" x14ac:dyDescent="0.2">
      <c r="A211" s="2"/>
      <c r="B211" s="2"/>
      <c r="C211" s="2"/>
      <c r="D211" s="166">
        <f>+$D$138</f>
        <v>0.90262011453804791</v>
      </c>
      <c r="E211" s="130">
        <f>+E203</f>
        <v>6.0000000000000005E-2</v>
      </c>
      <c r="F211" s="130">
        <f t="shared" ref="F211:I211" si="24">+F203</f>
        <v>6.5000000000000002E-2</v>
      </c>
      <c r="G211" s="131">
        <f>E104</f>
        <v>7.0000000000000007E-2</v>
      </c>
      <c r="H211" s="130">
        <f t="shared" si="24"/>
        <v>7.5000000000000011E-2</v>
      </c>
      <c r="I211" s="130">
        <f t="shared" si="24"/>
        <v>8.0000000000000016E-2</v>
      </c>
      <c r="J211" s="2"/>
    </row>
    <row r="212" spans="1:10" x14ac:dyDescent="0.2">
      <c r="A212" s="2"/>
      <c r="B212" s="2"/>
      <c r="C212" s="356" t="s">
        <v>129</v>
      </c>
      <c r="D212" s="132">
        <f>+D204</f>
        <v>9.2253900370923361E-2</v>
      </c>
      <c r="E212" s="167">
        <f t="dataTable" ref="E212:I216" dt2D="1" dtr="1" r1="E104" r2="C47" ca="1"/>
        <v>0.90284797027642349</v>
      </c>
      <c r="F212" s="167">
        <v>0.88883060453300944</v>
      </c>
      <c r="G212" s="167">
        <v>0.88883060453300944</v>
      </c>
      <c r="H212" s="167">
        <v>0.90284797027642349</v>
      </c>
      <c r="I212" s="167">
        <v>0.93168697570028136</v>
      </c>
      <c r="J212" s="2"/>
    </row>
    <row r="213" spans="1:10" x14ac:dyDescent="0.2">
      <c r="A213" s="2"/>
      <c r="B213" s="2"/>
      <c r="C213" s="357"/>
      <c r="D213" s="134">
        <f t="shared" ref="D213:D216" si="25">+D205</f>
        <v>9.7253900370923366E-2</v>
      </c>
      <c r="E213" s="167">
        <v>0.917227320035233</v>
      </c>
      <c r="F213" s="168">
        <v>0.90295579965192641</v>
      </c>
      <c r="G213" s="169">
        <v>0.90295579965192641</v>
      </c>
      <c r="H213" s="170">
        <v>0.917227320035233</v>
      </c>
      <c r="I213" s="167">
        <v>0.94659229008901014</v>
      </c>
      <c r="J213" s="2"/>
    </row>
    <row r="214" spans="1:10" x14ac:dyDescent="0.2">
      <c r="A214" s="2"/>
      <c r="B214" s="2"/>
      <c r="C214" s="357"/>
      <c r="D214" s="138">
        <f>C47</f>
        <v>0.10225390037092337</v>
      </c>
      <c r="E214" s="167">
        <v>0.917227320035233</v>
      </c>
      <c r="F214" s="171">
        <v>0.90295579965192641</v>
      </c>
      <c r="G214" s="172">
        <v>0.90295579965192641</v>
      </c>
      <c r="H214" s="173">
        <v>0.917227320035233</v>
      </c>
      <c r="I214" s="167">
        <v>0.94659229008901014</v>
      </c>
      <c r="J214" s="2"/>
    </row>
    <row r="215" spans="1:10" x14ac:dyDescent="0.2">
      <c r="A215" s="2"/>
      <c r="B215" s="2"/>
      <c r="C215" s="357"/>
      <c r="D215" s="134">
        <f t="shared" si="25"/>
        <v>0.10725390037092337</v>
      </c>
      <c r="E215" s="167">
        <v>0.90284797027642349</v>
      </c>
      <c r="F215" s="174">
        <v>0.88883060453300944</v>
      </c>
      <c r="G215" s="175">
        <v>0.88883060453300944</v>
      </c>
      <c r="H215" s="176">
        <v>0.90284797027642349</v>
      </c>
      <c r="I215" s="167">
        <v>0.93168697570028136</v>
      </c>
      <c r="J215" s="2"/>
    </row>
    <row r="216" spans="1:10" x14ac:dyDescent="0.2">
      <c r="A216" s="2"/>
      <c r="B216" s="2"/>
      <c r="C216" s="357"/>
      <c r="D216" s="134">
        <f t="shared" si="25"/>
        <v>0.11225390037092338</v>
      </c>
      <c r="E216" s="167">
        <v>0.87480481046919512</v>
      </c>
      <c r="F216" s="167">
        <v>0.86128217273978025</v>
      </c>
      <c r="G216" s="167">
        <v>0.86128217273978025</v>
      </c>
      <c r="H216" s="167">
        <v>0.87480481046919512</v>
      </c>
      <c r="I216" s="167">
        <v>0.90262011453804791</v>
      </c>
      <c r="J216" s="2"/>
    </row>
  </sheetData>
  <mergeCells count="5">
    <mergeCell ref="C180:C184"/>
    <mergeCell ref="C188:C192"/>
    <mergeCell ref="C196:C200"/>
    <mergeCell ref="C204:C208"/>
    <mergeCell ref="C212:C2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140B-B313-4A9F-A9E4-E1D415989949}">
  <sheetPr codeName="Sheet2"/>
  <dimension ref="A2:M274"/>
  <sheetViews>
    <sheetView showGridLines="0" topLeftCell="A14" workbookViewId="0">
      <selection activeCell="C12" sqref="C12"/>
    </sheetView>
  </sheetViews>
  <sheetFormatPr baseColWidth="10" defaultColWidth="8.83203125" defaultRowHeight="15" x14ac:dyDescent="0.2"/>
  <cols>
    <col min="2" max="2" width="50.1640625" bestFit="1" customWidth="1"/>
    <col min="3" max="3" width="14.5" bestFit="1" customWidth="1"/>
    <col min="4" max="10" width="11.6640625" bestFit="1" customWidth="1"/>
    <col min="11" max="11" width="10.5" bestFit="1" customWidth="1"/>
  </cols>
  <sheetData>
    <row r="2" spans="2:12" ht="26" x14ac:dyDescent="0.3">
      <c r="B2" s="179" t="str">
        <f>"Financial Statement Model for "&amp; C5</f>
        <v>Financial Statement Model for NVIDIA</v>
      </c>
      <c r="C2" s="180"/>
      <c r="D2" s="180"/>
      <c r="E2" s="180"/>
      <c r="F2" s="180"/>
      <c r="G2" s="180"/>
      <c r="H2" s="180"/>
      <c r="I2" s="180"/>
      <c r="J2" s="180"/>
      <c r="K2" s="180"/>
      <c r="L2" s="181"/>
    </row>
    <row r="3" spans="2:12" x14ac:dyDescent="0.2">
      <c r="B3" s="182" t="s">
        <v>1</v>
      </c>
    </row>
    <row r="5" spans="2:12" x14ac:dyDescent="0.2">
      <c r="B5" s="183" t="s">
        <v>134</v>
      </c>
      <c r="C5" s="184" t="s">
        <v>135</v>
      </c>
    </row>
    <row r="6" spans="2:12" x14ac:dyDescent="0.2">
      <c r="B6" s="183" t="s">
        <v>4</v>
      </c>
      <c r="C6" s="184" t="s">
        <v>5</v>
      </c>
    </row>
    <row r="7" spans="2:12" x14ac:dyDescent="0.2">
      <c r="B7" s="183" t="s">
        <v>6</v>
      </c>
      <c r="C7" s="355">
        <v>485.09</v>
      </c>
    </row>
    <row r="8" spans="2:12" x14ac:dyDescent="0.2">
      <c r="B8" s="183" t="s">
        <v>7</v>
      </c>
      <c r="C8" s="185">
        <v>45173</v>
      </c>
    </row>
    <row r="9" spans="2:12" x14ac:dyDescent="0.2">
      <c r="B9" s="183" t="s">
        <v>8</v>
      </c>
      <c r="C9" s="185">
        <v>44955</v>
      </c>
      <c r="E9" s="186"/>
    </row>
    <row r="10" spans="2:12" x14ac:dyDescent="0.2">
      <c r="B10" s="183" t="s">
        <v>9</v>
      </c>
      <c r="C10" s="184" t="s">
        <v>136</v>
      </c>
      <c r="D10" t="s">
        <v>137</v>
      </c>
    </row>
    <row r="11" spans="2:12" x14ac:dyDescent="0.2">
      <c r="B11" s="183" t="s">
        <v>138</v>
      </c>
      <c r="C11" s="184">
        <v>1</v>
      </c>
    </row>
    <row r="13" spans="2:12" ht="20" x14ac:dyDescent="0.25">
      <c r="B13" s="187" t="s">
        <v>139</v>
      </c>
      <c r="C13" s="188"/>
      <c r="D13" s="188"/>
      <c r="E13" s="188"/>
      <c r="F13" s="188"/>
      <c r="G13" s="188"/>
      <c r="H13" s="188"/>
      <c r="I13" s="188"/>
      <c r="J13" s="188"/>
      <c r="K13" s="188"/>
      <c r="L13" s="189"/>
    </row>
    <row r="14" spans="2:12" x14ac:dyDescent="0.2">
      <c r="C14" s="190">
        <f>EOMONTH(D14,-12)</f>
        <v>44196</v>
      </c>
      <c r="D14" s="190">
        <f>EOMONTH(E14,-12)</f>
        <v>44561</v>
      </c>
      <c r="E14" s="191">
        <v>44926</v>
      </c>
      <c r="F14" s="190">
        <f>EOMONTH(E14,12)</f>
        <v>45291</v>
      </c>
      <c r="G14" s="190">
        <f t="shared" ref="G14:K14" si="0">EOMONTH(F14,12)</f>
        <v>45657</v>
      </c>
      <c r="H14" s="190">
        <f t="shared" si="0"/>
        <v>46022</v>
      </c>
      <c r="I14" s="190">
        <f t="shared" si="0"/>
        <v>46387</v>
      </c>
      <c r="J14" s="190">
        <f t="shared" si="0"/>
        <v>46752</v>
      </c>
      <c r="K14" s="190">
        <f t="shared" si="0"/>
        <v>47118</v>
      </c>
      <c r="L14" s="192"/>
    </row>
    <row r="15" spans="2:12" x14ac:dyDescent="0.2">
      <c r="B15" t="s">
        <v>140</v>
      </c>
      <c r="C15" s="193">
        <v>16675</v>
      </c>
      <c r="D15" s="344">
        <v>26914</v>
      </c>
      <c r="E15" s="194">
        <v>26974</v>
      </c>
      <c r="F15" s="195">
        <f>E15*(1+INDEX(F46:F48,MATCH($C$10,$B$46:$B$48,0)))</f>
        <v>35285.529728266578</v>
      </c>
      <c r="G15" s="195">
        <f t="shared" ref="G15:K15" si="1">F15*(1+INDEX(G46:G48,MATCH($C$10,$B$46:$B$48,0)))</f>
        <v>46158.100697129994</v>
      </c>
      <c r="H15" s="195">
        <f t="shared" si="1"/>
        <v>60380.849497623742</v>
      </c>
      <c r="I15" s="195">
        <f t="shared" si="1"/>
        <v>78986.070288662886</v>
      </c>
      <c r="J15" s="195">
        <f t="shared" si="1"/>
        <v>103324.13921886143</v>
      </c>
      <c r="K15" s="195">
        <f t="shared" si="1"/>
        <v>135161.52539685214</v>
      </c>
      <c r="L15" s="196"/>
    </row>
    <row r="16" spans="2:12" x14ac:dyDescent="0.2">
      <c r="B16" s="197" t="s">
        <v>141</v>
      </c>
      <c r="C16" s="199"/>
      <c r="D16" s="345">
        <f>(D15-C15)/C15</f>
        <v>0.61403298350824587</v>
      </c>
      <c r="E16" s="346">
        <f t="shared" ref="E16" si="2">(E15-D15)/D15</f>
        <v>2.2293230289068887E-3</v>
      </c>
      <c r="F16" s="345"/>
      <c r="G16" s="345"/>
      <c r="H16" s="345"/>
      <c r="I16" s="345"/>
      <c r="J16" s="345"/>
      <c r="K16" s="345"/>
      <c r="L16" s="196"/>
    </row>
    <row r="17" spans="1:12" x14ac:dyDescent="0.2">
      <c r="B17" t="s">
        <v>142</v>
      </c>
      <c r="C17" s="200">
        <v>5181</v>
      </c>
      <c r="D17" s="200">
        <v>8265</v>
      </c>
      <c r="E17" s="201">
        <v>10074</v>
      </c>
      <c r="F17" s="202">
        <f t="shared" ref="F17:K17" si="3">F15*(1-F49)</f>
        <v>13178.113238027636</v>
      </c>
      <c r="G17" s="202">
        <f t="shared" si="3"/>
        <v>17238.700467964987</v>
      </c>
      <c r="H17" s="202">
        <f t="shared" si="3"/>
        <v>22550.481124010585</v>
      </c>
      <c r="I17" s="202">
        <f t="shared" si="3"/>
        <v>29498.986879513228</v>
      </c>
      <c r="J17" s="202">
        <f t="shared" si="3"/>
        <v>38588.543726952244</v>
      </c>
      <c r="K17" s="202">
        <f t="shared" si="3"/>
        <v>50478.876208492933</v>
      </c>
      <c r="L17" s="196"/>
    </row>
    <row r="18" spans="1:12" x14ac:dyDescent="0.2">
      <c r="B18" s="203" t="s">
        <v>58</v>
      </c>
      <c r="C18" s="204">
        <f t="shared" ref="C18:E18" si="4">C15-C17</f>
        <v>11494</v>
      </c>
      <c r="D18" s="204">
        <f t="shared" si="4"/>
        <v>18649</v>
      </c>
      <c r="E18" s="211">
        <f t="shared" si="4"/>
        <v>16900</v>
      </c>
      <c r="F18" s="205">
        <f t="shared" ref="F18:K18" si="5">F15-F17</f>
        <v>22107.416490238942</v>
      </c>
      <c r="G18" s="205">
        <f>G15-G17</f>
        <v>28919.400229165007</v>
      </c>
      <c r="H18" s="205">
        <f t="shared" si="5"/>
        <v>37830.368373613157</v>
      </c>
      <c r="I18" s="205">
        <f t="shared" si="5"/>
        <v>49487.083409149658</v>
      </c>
      <c r="J18" s="205">
        <f t="shared" si="5"/>
        <v>64735.595491909182</v>
      </c>
      <c r="K18" s="205">
        <f t="shared" si="5"/>
        <v>84682.64918835921</v>
      </c>
    </row>
    <row r="19" spans="1:12" x14ac:dyDescent="0.2">
      <c r="B19" s="197" t="s">
        <v>143</v>
      </c>
      <c r="C19" s="206">
        <f t="shared" ref="C19:E19" si="6">(C15-C17)/C15</f>
        <v>0.6892953523238381</v>
      </c>
      <c r="D19" s="206">
        <f t="shared" si="6"/>
        <v>0.69291075276807612</v>
      </c>
      <c r="E19" s="207">
        <f t="shared" si="6"/>
        <v>0.62652925038926377</v>
      </c>
      <c r="F19" s="195"/>
      <c r="G19" s="195"/>
      <c r="H19" s="195"/>
      <c r="I19" s="195"/>
      <c r="J19" s="195"/>
      <c r="K19" s="195"/>
    </row>
    <row r="20" spans="1:12" x14ac:dyDescent="0.2">
      <c r="E20" s="208"/>
      <c r="F20" s="195"/>
      <c r="G20" s="195"/>
      <c r="H20" s="195"/>
      <c r="I20" s="195"/>
      <c r="J20" s="195"/>
      <c r="K20" s="195"/>
    </row>
    <row r="21" spans="1:12" x14ac:dyDescent="0.2">
      <c r="B21" t="s">
        <v>144</v>
      </c>
      <c r="C21" s="349">
        <v>3924</v>
      </c>
      <c r="D21" s="349">
        <v>5268</v>
      </c>
      <c r="E21" s="350">
        <v>7339</v>
      </c>
      <c r="F21" s="195">
        <f>$E$21/$E$23*F23</f>
        <v>9600.3745338380813</v>
      </c>
      <c r="G21" s="195">
        <f t="shared" ref="G21:K21" si="7">$E$21/$E$23*G23</f>
        <v>12558.54901075988</v>
      </c>
      <c r="H21" s="195">
        <f t="shared" si="7"/>
        <v>16428.229200825263</v>
      </c>
      <c r="I21" s="195">
        <f t="shared" si="7"/>
        <v>21490.278410636052</v>
      </c>
      <c r="J21" s="195">
        <f t="shared" si="7"/>
        <v>28112.102681368131</v>
      </c>
      <c r="K21" s="195">
        <f t="shared" si="7"/>
        <v>36774.317301382733</v>
      </c>
    </row>
    <row r="22" spans="1:12" x14ac:dyDescent="0.2">
      <c r="B22" t="s">
        <v>145</v>
      </c>
      <c r="C22" s="349">
        <v>1856</v>
      </c>
      <c r="D22" s="349">
        <v>2166</v>
      </c>
      <c r="E22" s="350">
        <v>2440</v>
      </c>
      <c r="F22" s="195">
        <f>$E$22/$E$23*F23</f>
        <v>3191.8400139753262</v>
      </c>
      <c r="G22" s="195">
        <f t="shared" ref="G22:K22" si="8">$E$22/$E$23*G23</f>
        <v>4175.3453585303323</v>
      </c>
      <c r="H22" s="195">
        <f t="shared" si="8"/>
        <v>5461.8993391488821</v>
      </c>
      <c r="I22" s="195">
        <f t="shared" si="8"/>
        <v>7144.8806815577018</v>
      </c>
      <c r="J22" s="195">
        <f t="shared" si="8"/>
        <v>9346.4410059324491</v>
      </c>
      <c r="K22" s="195">
        <f t="shared" si="8"/>
        <v>12226.370652047128</v>
      </c>
    </row>
    <row r="23" spans="1:12" x14ac:dyDescent="0.2">
      <c r="B23" s="203" t="s">
        <v>146</v>
      </c>
      <c r="C23" s="210">
        <f t="shared" ref="C23:E23" si="9">C22+C21</f>
        <v>5780</v>
      </c>
      <c r="D23" s="210">
        <f t="shared" si="9"/>
        <v>7434</v>
      </c>
      <c r="E23" s="211">
        <f t="shared" si="9"/>
        <v>9779</v>
      </c>
      <c r="F23" s="212">
        <f t="shared" ref="F23:K23" si="10">F15*F50</f>
        <v>12792.214547813408</v>
      </c>
      <c r="G23" s="212">
        <f t="shared" si="10"/>
        <v>16733.894369290214</v>
      </c>
      <c r="H23" s="212">
        <f t="shared" si="10"/>
        <v>21890.128539974146</v>
      </c>
      <c r="I23" s="212">
        <f t="shared" si="10"/>
        <v>28635.159092193757</v>
      </c>
      <c r="J23" s="212">
        <f t="shared" si="10"/>
        <v>37458.543687300582</v>
      </c>
      <c r="K23" s="212">
        <f t="shared" si="10"/>
        <v>49000.687953429864</v>
      </c>
    </row>
    <row r="24" spans="1:12" x14ac:dyDescent="0.2">
      <c r="B24" s="197" t="s">
        <v>147</v>
      </c>
      <c r="C24" s="206">
        <f t="shared" ref="C24:E24" si="11">C23/C15</f>
        <v>0.34662668665667168</v>
      </c>
      <c r="D24" s="206">
        <f t="shared" si="11"/>
        <v>0.2762131232815635</v>
      </c>
      <c r="E24" s="207">
        <f t="shared" si="11"/>
        <v>0.36253429228145623</v>
      </c>
      <c r="F24" s="195"/>
      <c r="G24" s="195"/>
      <c r="H24" s="195"/>
      <c r="I24" s="195"/>
      <c r="J24" s="195"/>
      <c r="K24" s="195"/>
    </row>
    <row r="25" spans="1:12" x14ac:dyDescent="0.2">
      <c r="A25" s="203"/>
      <c r="B25" s="213"/>
      <c r="C25" s="213"/>
      <c r="D25" s="213"/>
      <c r="E25" s="214"/>
      <c r="F25" s="215"/>
      <c r="G25" s="215"/>
      <c r="H25" s="215"/>
      <c r="I25" s="215"/>
      <c r="J25" s="215"/>
      <c r="K25" s="195"/>
    </row>
    <row r="26" spans="1:12" x14ac:dyDescent="0.2">
      <c r="B26" s="216" t="s">
        <v>148</v>
      </c>
      <c r="C26" s="217"/>
      <c r="D26" s="217"/>
      <c r="E26" s="218"/>
      <c r="F26" s="195"/>
      <c r="G26" s="195"/>
      <c r="H26" s="195"/>
      <c r="I26" s="195"/>
      <c r="J26" s="195"/>
      <c r="K26" s="195"/>
    </row>
    <row r="27" spans="1:12" x14ac:dyDescent="0.2">
      <c r="B27" s="203" t="s">
        <v>63</v>
      </c>
      <c r="C27" s="210">
        <f t="shared" ref="C27:D27" si="12">C18-C23</f>
        <v>5714</v>
      </c>
      <c r="D27" s="210">
        <f t="shared" si="12"/>
        <v>11215</v>
      </c>
      <c r="E27" s="211">
        <f>E18-E23</f>
        <v>7121</v>
      </c>
      <c r="F27" s="212">
        <f>F18-F23</f>
        <v>9315.2019424255341</v>
      </c>
      <c r="G27" s="212">
        <f t="shared" ref="G27:K27" si="13">G18-G23</f>
        <v>12185.505859874793</v>
      </c>
      <c r="H27" s="212">
        <f t="shared" si="13"/>
        <v>15940.239833639011</v>
      </c>
      <c r="I27" s="212">
        <f t="shared" si="13"/>
        <v>20851.924316955901</v>
      </c>
      <c r="J27" s="212">
        <f t="shared" si="13"/>
        <v>27277.0518046086</v>
      </c>
      <c r="K27" s="212">
        <f t="shared" si="13"/>
        <v>35681.961234929346</v>
      </c>
    </row>
    <row r="28" spans="1:12" x14ac:dyDescent="0.2">
      <c r="B28" s="197" t="s">
        <v>149</v>
      </c>
      <c r="C28" s="206">
        <f t="shared" ref="C28:E28" si="14">C27/C15</f>
        <v>0.34266866566716642</v>
      </c>
      <c r="D28" s="206">
        <f t="shared" si="14"/>
        <v>0.41669762948651262</v>
      </c>
      <c r="E28" s="207">
        <f t="shared" si="14"/>
        <v>0.26399495810780754</v>
      </c>
      <c r="F28" s="195"/>
      <c r="G28" s="195"/>
      <c r="H28" s="195"/>
      <c r="I28" s="195"/>
      <c r="J28" s="195"/>
      <c r="K28" s="195"/>
    </row>
    <row r="29" spans="1:12" x14ac:dyDescent="0.2">
      <c r="B29" t="s">
        <v>150</v>
      </c>
      <c r="C29" s="193">
        <v>486</v>
      </c>
      <c r="D29" s="193">
        <v>611</v>
      </c>
      <c r="E29" s="194">
        <v>845</v>
      </c>
      <c r="F29" s="195">
        <f>-F122</f>
        <v>782.30472265316394</v>
      </c>
      <c r="G29" s="195">
        <f t="shared" ref="G29:K29" si="15">-G122</f>
        <v>1183.1549891432173</v>
      </c>
      <c r="H29" s="195">
        <f t="shared" si="15"/>
        <v>1707.519710534867</v>
      </c>
      <c r="I29" s="195">
        <f t="shared" si="15"/>
        <v>2393.4575382622816</v>
      </c>
      <c r="J29" s="195">
        <f t="shared" si="15"/>
        <v>3290.7541799178866</v>
      </c>
      <c r="K29" s="195">
        <f t="shared" si="15"/>
        <v>4464.5358705908538</v>
      </c>
    </row>
    <row r="30" spans="1:12" x14ac:dyDescent="0.2">
      <c r="B30" t="s">
        <v>151</v>
      </c>
      <c r="C30" s="200">
        <v>612</v>
      </c>
      <c r="D30" s="200">
        <v>563</v>
      </c>
      <c r="E30" s="201">
        <v>699</v>
      </c>
      <c r="F30" s="202">
        <f>-F127</f>
        <v>699</v>
      </c>
      <c r="G30" s="202">
        <f t="shared" ref="G30:K30" si="16">-G127</f>
        <v>699</v>
      </c>
      <c r="H30" s="202">
        <f t="shared" si="16"/>
        <v>699</v>
      </c>
      <c r="I30" s="202">
        <f t="shared" si="16"/>
        <v>699</v>
      </c>
      <c r="J30" s="202">
        <f t="shared" si="16"/>
        <v>699</v>
      </c>
      <c r="K30" s="202">
        <f t="shared" si="16"/>
        <v>699</v>
      </c>
    </row>
    <row r="31" spans="1:12" x14ac:dyDescent="0.2">
      <c r="B31" s="203" t="s">
        <v>66</v>
      </c>
      <c r="C31" s="210">
        <f t="shared" ref="C31:E31" si="17">C27-SUM(C29:C30)</f>
        <v>4616</v>
      </c>
      <c r="D31" s="210">
        <f t="shared" si="17"/>
        <v>10041</v>
      </c>
      <c r="E31" s="211">
        <f t="shared" si="17"/>
        <v>5577</v>
      </c>
      <c r="F31" s="212">
        <f>F27-SUM(F29:F30)</f>
        <v>7833.8972197723706</v>
      </c>
      <c r="G31" s="212">
        <f t="shared" ref="G31:K31" si="18">G27-SUM(G29:G30)</f>
        <v>10303.350870731576</v>
      </c>
      <c r="H31" s="212">
        <f t="shared" si="18"/>
        <v>13533.720123104144</v>
      </c>
      <c r="I31" s="212">
        <f t="shared" si="18"/>
        <v>17759.466778693619</v>
      </c>
      <c r="J31" s="212">
        <f t="shared" si="18"/>
        <v>23287.297624690713</v>
      </c>
      <c r="K31" s="212">
        <f t="shared" si="18"/>
        <v>30518.425364338491</v>
      </c>
    </row>
    <row r="32" spans="1:12" x14ac:dyDescent="0.2">
      <c r="B32" t="s">
        <v>152</v>
      </c>
      <c r="C32" s="193">
        <v>84</v>
      </c>
      <c r="D32" s="193">
        <v>-100</v>
      </c>
      <c r="E32" s="194">
        <v>1414</v>
      </c>
      <c r="F32" s="195">
        <v>0</v>
      </c>
      <c r="G32" s="195">
        <v>0</v>
      </c>
      <c r="H32" s="195">
        <v>0</v>
      </c>
      <c r="I32" s="195">
        <v>0</v>
      </c>
      <c r="J32" s="195">
        <v>0</v>
      </c>
      <c r="K32" s="195">
        <v>0</v>
      </c>
    </row>
    <row r="33" spans="2:11" x14ac:dyDescent="0.2">
      <c r="B33" t="s">
        <v>153</v>
      </c>
      <c r="C33" s="193">
        <v>4</v>
      </c>
      <c r="D33" s="193">
        <v>7</v>
      </c>
      <c r="E33" s="194">
        <v>13</v>
      </c>
      <c r="F33" s="195">
        <v>0</v>
      </c>
      <c r="G33" s="195">
        <v>0</v>
      </c>
      <c r="H33" s="195">
        <v>0</v>
      </c>
      <c r="I33" s="195">
        <v>0</v>
      </c>
      <c r="J33" s="195">
        <v>0</v>
      </c>
      <c r="K33" s="195">
        <v>0</v>
      </c>
    </row>
    <row r="34" spans="2:11" x14ac:dyDescent="0.2">
      <c r="B34" t="s">
        <v>154</v>
      </c>
      <c r="C34" s="193">
        <v>57</v>
      </c>
      <c r="D34" s="193">
        <v>29</v>
      </c>
      <c r="E34" s="194">
        <v>267</v>
      </c>
      <c r="F34" s="195">
        <v>0</v>
      </c>
      <c r="G34" s="195">
        <v>0</v>
      </c>
      <c r="H34" s="195">
        <v>0</v>
      </c>
      <c r="I34" s="195">
        <v>0</v>
      </c>
      <c r="J34" s="195">
        <v>0</v>
      </c>
      <c r="K34" s="195">
        <v>0</v>
      </c>
    </row>
    <row r="35" spans="2:11" x14ac:dyDescent="0.2">
      <c r="B35" t="s">
        <v>155</v>
      </c>
      <c r="C35" s="193">
        <v>184</v>
      </c>
      <c r="D35" s="193">
        <v>236</v>
      </c>
      <c r="E35" s="194">
        <v>262</v>
      </c>
      <c r="F35" s="195">
        <f ca="1">IF($C$11=1, F211,0)</f>
        <v>232.63337535284728</v>
      </c>
      <c r="G35" s="195">
        <f t="shared" ref="G35:K35" ca="1" si="19">IF($C$11=1, G211,0)</f>
        <v>274.44673440269833</v>
      </c>
      <c r="H35" s="195">
        <f t="shared" ca="1" si="19"/>
        <v>300.72765850843911</v>
      </c>
      <c r="I35" s="195">
        <f t="shared" ca="1" si="19"/>
        <v>303.49781951871671</v>
      </c>
      <c r="J35" s="195">
        <f t="shared" ca="1" si="19"/>
        <v>275.21125158881529</v>
      </c>
      <c r="K35" s="195">
        <f t="shared" ca="1" si="19"/>
        <v>216.32161417683133</v>
      </c>
    </row>
    <row r="36" spans="2:11" x14ac:dyDescent="0.2">
      <c r="B36" s="203" t="s">
        <v>156</v>
      </c>
      <c r="C36" s="210">
        <f t="shared" ref="C36:E36" si="20">C31-C32+C33+C34-C35</f>
        <v>4409</v>
      </c>
      <c r="D36" s="210">
        <f t="shared" si="20"/>
        <v>9941</v>
      </c>
      <c r="E36" s="210">
        <f t="shared" si="20"/>
        <v>4181</v>
      </c>
      <c r="F36" s="219">
        <f t="shared" ref="F36:K36" ca="1" si="21">F31-F32+F33+F34-F35</f>
        <v>7601.2638444195236</v>
      </c>
      <c r="G36" s="212">
        <f t="shared" ca="1" si="21"/>
        <v>10028.904136328878</v>
      </c>
      <c r="H36" s="212">
        <f t="shared" ca="1" si="21"/>
        <v>13232.992464595705</v>
      </c>
      <c r="I36" s="212">
        <f t="shared" ca="1" si="21"/>
        <v>17455.968959174901</v>
      </c>
      <c r="J36" s="212">
        <f t="shared" ca="1" si="21"/>
        <v>23012.086373101898</v>
      </c>
      <c r="K36" s="212">
        <f t="shared" ca="1" si="21"/>
        <v>30302.103750161659</v>
      </c>
    </row>
    <row r="37" spans="2:11" x14ac:dyDescent="0.2">
      <c r="B37" t="s">
        <v>157</v>
      </c>
      <c r="C37" s="186">
        <v>77</v>
      </c>
      <c r="D37" s="186">
        <v>189</v>
      </c>
      <c r="E37" s="348">
        <v>-187</v>
      </c>
      <c r="F37" s="195">
        <f t="shared" ref="F37:K37" ca="1" si="22">F36*F52</f>
        <v>-339.9752066267522</v>
      </c>
      <c r="G37" s="195">
        <f t="shared" ca="1" si="22"/>
        <v>-448.55419122064103</v>
      </c>
      <c r="H37" s="195">
        <f t="shared" ca="1" si="22"/>
        <v>-591.8607009996166</v>
      </c>
      <c r="I37" s="195">
        <f t="shared" ca="1" si="22"/>
        <v>-780.73814765981979</v>
      </c>
      <c r="J37" s="195">
        <f t="shared" ca="1" si="22"/>
        <v>-1029.2418444798027</v>
      </c>
      <c r="K37" s="195">
        <f t="shared" ca="1" si="22"/>
        <v>-1355.2961973882398</v>
      </c>
    </row>
    <row r="38" spans="2:11" x14ac:dyDescent="0.2">
      <c r="B38" s="197" t="s">
        <v>158</v>
      </c>
      <c r="C38" s="206">
        <f t="shared" ref="C38:E38" si="23">C37/C36</f>
        <v>1.7464277613971423E-2</v>
      </c>
      <c r="D38" s="206">
        <f t="shared" si="23"/>
        <v>1.9012171813700834E-2</v>
      </c>
      <c r="E38" s="347">
        <f t="shared" si="23"/>
        <v>-4.4726142071274816E-2</v>
      </c>
      <c r="F38" s="195"/>
      <c r="G38" s="195"/>
      <c r="H38" s="195"/>
      <c r="I38" s="195"/>
      <c r="J38" s="195"/>
      <c r="K38" s="195"/>
    </row>
    <row r="39" spans="2:11" x14ac:dyDescent="0.2">
      <c r="B39" s="203" t="s">
        <v>159</v>
      </c>
      <c r="C39" s="210">
        <f t="shared" ref="C39:E39" si="24">C36-C37</f>
        <v>4332</v>
      </c>
      <c r="D39" s="210">
        <f t="shared" si="24"/>
        <v>9752</v>
      </c>
      <c r="E39" s="211">
        <f t="shared" si="24"/>
        <v>4368</v>
      </c>
      <c r="F39" s="212">
        <f ca="1">F36-F37</f>
        <v>7941.2390510462756</v>
      </c>
      <c r="G39" s="212">
        <f t="shared" ref="G39:K39" ca="1" si="25">G36-G37</f>
        <v>10477.458327549519</v>
      </c>
      <c r="H39" s="212">
        <f t="shared" ca="1" si="25"/>
        <v>13824.853165595321</v>
      </c>
      <c r="I39" s="212">
        <f t="shared" ca="1" si="25"/>
        <v>18236.707106834721</v>
      </c>
      <c r="J39" s="212">
        <f t="shared" ca="1" si="25"/>
        <v>24041.3282175817</v>
      </c>
      <c r="K39" s="212">
        <f t="shared" ca="1" si="25"/>
        <v>31657.3999475499</v>
      </c>
    </row>
    <row r="41" spans="2:11" x14ac:dyDescent="0.2">
      <c r="B41" s="203" t="s">
        <v>160</v>
      </c>
      <c r="C41" s="220">
        <f t="shared" ref="C41:K41" si="26">C233</f>
        <v>1.7314148681055155</v>
      </c>
      <c r="D41" s="220">
        <f t="shared" si="26"/>
        <v>3.9577922077922079</v>
      </c>
      <c r="E41" s="220">
        <f t="shared" si="26"/>
        <v>1.735399284862932</v>
      </c>
      <c r="F41" s="221">
        <f t="shared" ca="1" si="26"/>
        <v>3.1669517507534541</v>
      </c>
      <c r="G41" s="220">
        <f t="shared" ca="1" si="26"/>
        <v>4.178247695606137</v>
      </c>
      <c r="H41" s="220">
        <f t="shared" ca="1" si="26"/>
        <v>5.4972141532670218</v>
      </c>
      <c r="I41" s="220">
        <f t="shared" ca="1" si="26"/>
        <v>7.2151429076472091</v>
      </c>
      <c r="J41" s="220">
        <f t="shared" ca="1" si="26"/>
        <v>9.4489755312438319</v>
      </c>
      <c r="K41" s="220">
        <f t="shared" ca="1" si="26"/>
        <v>12.345882914570407</v>
      </c>
    </row>
    <row r="42" spans="2:11" x14ac:dyDescent="0.2">
      <c r="B42" s="203" t="s">
        <v>161</v>
      </c>
      <c r="C42" s="220">
        <f t="shared" ref="C42:K42" si="27">C232</f>
        <v>1.7258964143426294</v>
      </c>
      <c r="D42" s="220">
        <f t="shared" si="27"/>
        <v>3.8469428007889546</v>
      </c>
      <c r="E42" s="220">
        <f t="shared" si="27"/>
        <v>1.7423214998005585</v>
      </c>
      <c r="F42" s="221">
        <f t="shared" ca="1" si="27"/>
        <v>3.1796320658440189</v>
      </c>
      <c r="G42" s="220">
        <f t="shared" ca="1" si="27"/>
        <v>4.194976610968955</v>
      </c>
      <c r="H42" s="220">
        <f t="shared" ca="1" si="27"/>
        <v>5.5191601405955044</v>
      </c>
      <c r="I42" s="220">
        <f t="shared" ca="1" si="27"/>
        <v>7.2438021757852757</v>
      </c>
      <c r="J42" s="220">
        <f t="shared" ca="1" si="27"/>
        <v>9.4862594252036629</v>
      </c>
      <c r="K42" s="220">
        <f t="shared" ca="1" si="27"/>
        <v>12.394218396763376</v>
      </c>
    </row>
    <row r="44" spans="2:11" x14ac:dyDescent="0.2">
      <c r="B44" s="216" t="s">
        <v>162</v>
      </c>
    </row>
    <row r="45" spans="2:11" x14ac:dyDescent="0.2">
      <c r="B45" t="s">
        <v>163</v>
      </c>
      <c r="C45" s="198"/>
      <c r="D45" s="206">
        <f>(D15/C15)-1</f>
        <v>0.61403298350824587</v>
      </c>
      <c r="E45" s="207">
        <f>(E15/D15)-1</f>
        <v>2.2293230289069932E-3</v>
      </c>
      <c r="F45" s="222"/>
      <c r="G45" s="206"/>
      <c r="H45" s="206"/>
      <c r="I45" s="206"/>
      <c r="J45" s="206"/>
      <c r="K45" s="206"/>
    </row>
    <row r="46" spans="2:11" x14ac:dyDescent="0.2">
      <c r="B46" s="197" t="s">
        <v>164</v>
      </c>
      <c r="C46" s="198"/>
      <c r="D46" s="198"/>
      <c r="E46" s="223"/>
      <c r="F46" s="224">
        <v>0.65</v>
      </c>
      <c r="G46" s="225">
        <f t="shared" ref="G46:K52" si="28">F46</f>
        <v>0.65</v>
      </c>
      <c r="H46" s="225">
        <f t="shared" si="28"/>
        <v>0.65</v>
      </c>
      <c r="I46" s="225">
        <f t="shared" si="28"/>
        <v>0.65</v>
      </c>
      <c r="J46" s="225">
        <f t="shared" si="28"/>
        <v>0.65</v>
      </c>
      <c r="K46" s="225">
        <f t="shared" si="28"/>
        <v>0.65</v>
      </c>
    </row>
    <row r="47" spans="2:11" x14ac:dyDescent="0.2">
      <c r="B47" s="197" t="s">
        <v>136</v>
      </c>
      <c r="C47" s="198"/>
      <c r="D47" s="226"/>
      <c r="E47" s="227"/>
      <c r="F47" s="228">
        <f>AVERAGE(D16:E16)</f>
        <v>0.30813115326857637</v>
      </c>
      <c r="G47" s="225">
        <f t="shared" si="28"/>
        <v>0.30813115326857637</v>
      </c>
      <c r="H47" s="225">
        <f t="shared" si="28"/>
        <v>0.30813115326857637</v>
      </c>
      <c r="I47" s="225">
        <f t="shared" si="28"/>
        <v>0.30813115326857637</v>
      </c>
      <c r="J47" s="225">
        <f t="shared" si="28"/>
        <v>0.30813115326857637</v>
      </c>
      <c r="K47" s="225">
        <f t="shared" si="28"/>
        <v>0.30813115326857637</v>
      </c>
    </row>
    <row r="48" spans="2:11" x14ac:dyDescent="0.2">
      <c r="B48" s="197" t="s">
        <v>165</v>
      </c>
      <c r="C48" s="198"/>
      <c r="D48" s="198"/>
      <c r="E48" s="223"/>
      <c r="F48" s="228">
        <v>0.15</v>
      </c>
      <c r="G48" s="225">
        <f t="shared" si="28"/>
        <v>0.15</v>
      </c>
      <c r="H48" s="225">
        <f t="shared" si="28"/>
        <v>0.15</v>
      </c>
      <c r="I48" s="225">
        <f t="shared" si="28"/>
        <v>0.15</v>
      </c>
      <c r="J48" s="225">
        <f t="shared" si="28"/>
        <v>0.15</v>
      </c>
      <c r="K48" s="225">
        <f t="shared" si="28"/>
        <v>0.15</v>
      </c>
    </row>
    <row r="49" spans="1:13" x14ac:dyDescent="0.2">
      <c r="B49" t="s">
        <v>166</v>
      </c>
      <c r="C49" s="206">
        <f>C18/C15</f>
        <v>0.6892953523238381</v>
      </c>
      <c r="D49" s="206">
        <f>D18/D15</f>
        <v>0.69291075276807612</v>
      </c>
      <c r="E49" s="207">
        <f>E18/E15</f>
        <v>0.62652925038926377</v>
      </c>
      <c r="F49" s="229">
        <f>E49</f>
        <v>0.62652925038926377</v>
      </c>
      <c r="G49" s="225">
        <f t="shared" si="28"/>
        <v>0.62652925038926377</v>
      </c>
      <c r="H49" s="225">
        <f t="shared" si="28"/>
        <v>0.62652925038926377</v>
      </c>
      <c r="I49" s="225">
        <f t="shared" si="28"/>
        <v>0.62652925038926377</v>
      </c>
      <c r="J49" s="225">
        <f t="shared" si="28"/>
        <v>0.62652925038926377</v>
      </c>
      <c r="K49" s="225">
        <f t="shared" si="28"/>
        <v>0.62652925038926377</v>
      </c>
    </row>
    <row r="50" spans="1:13" x14ac:dyDescent="0.2">
      <c r="B50" t="s">
        <v>167</v>
      </c>
      <c r="C50" s="206">
        <f>C23/C15</f>
        <v>0.34662668665667168</v>
      </c>
      <c r="D50" s="206">
        <f>D23/D15</f>
        <v>0.2762131232815635</v>
      </c>
      <c r="E50" s="207">
        <f>E23/E15</f>
        <v>0.36253429228145623</v>
      </c>
      <c r="F50" s="229">
        <f>E50</f>
        <v>0.36253429228145623</v>
      </c>
      <c r="G50" s="225">
        <f t="shared" si="28"/>
        <v>0.36253429228145623</v>
      </c>
      <c r="H50" s="225">
        <f t="shared" si="28"/>
        <v>0.36253429228145623</v>
      </c>
      <c r="I50" s="225">
        <f t="shared" si="28"/>
        <v>0.36253429228145623</v>
      </c>
      <c r="J50" s="225">
        <f t="shared" si="28"/>
        <v>0.36253429228145623</v>
      </c>
      <c r="K50" s="225">
        <f t="shared" si="28"/>
        <v>0.36253429228145623</v>
      </c>
    </row>
    <row r="51" spans="1:13" x14ac:dyDescent="0.2">
      <c r="B51" t="s">
        <v>149</v>
      </c>
      <c r="C51" s="206">
        <f>C27/C15</f>
        <v>0.34266866566716642</v>
      </c>
      <c r="D51" s="206">
        <f>D27/D15</f>
        <v>0.41669762948651262</v>
      </c>
      <c r="E51" s="207">
        <f>E27/E15</f>
        <v>0.26399495810780754</v>
      </c>
      <c r="F51" s="229">
        <f>E51</f>
        <v>0.26399495810780754</v>
      </c>
      <c r="G51" s="225">
        <f t="shared" si="28"/>
        <v>0.26399495810780754</v>
      </c>
      <c r="H51" s="225">
        <f t="shared" si="28"/>
        <v>0.26399495810780754</v>
      </c>
      <c r="I51" s="225">
        <f t="shared" si="28"/>
        <v>0.26399495810780754</v>
      </c>
      <c r="J51" s="225">
        <f t="shared" si="28"/>
        <v>0.26399495810780754</v>
      </c>
      <c r="K51" s="225">
        <f t="shared" si="28"/>
        <v>0.26399495810780754</v>
      </c>
    </row>
    <row r="52" spans="1:13" x14ac:dyDescent="0.2">
      <c r="B52" t="s">
        <v>168</v>
      </c>
      <c r="C52" s="206">
        <f>C37/C36</f>
        <v>1.7464277613971423E-2</v>
      </c>
      <c r="D52" s="206">
        <f>D37/D36</f>
        <v>1.9012171813700834E-2</v>
      </c>
      <c r="E52" s="207">
        <f>E37/E36</f>
        <v>-4.4726142071274816E-2</v>
      </c>
      <c r="F52" s="229">
        <f>E52</f>
        <v>-4.4726142071274816E-2</v>
      </c>
      <c r="G52" s="225">
        <f t="shared" si="28"/>
        <v>-4.4726142071274816E-2</v>
      </c>
      <c r="H52" s="225">
        <f t="shared" si="28"/>
        <v>-4.4726142071274816E-2</v>
      </c>
      <c r="I52" s="225">
        <f t="shared" si="28"/>
        <v>-4.4726142071274816E-2</v>
      </c>
      <c r="J52" s="225">
        <f t="shared" si="28"/>
        <v>-4.4726142071274816E-2</v>
      </c>
      <c r="K52" s="225">
        <f t="shared" si="28"/>
        <v>-4.4726142071274816E-2</v>
      </c>
    </row>
    <row r="55" spans="1:13" ht="20" x14ac:dyDescent="0.25">
      <c r="B55" s="187" t="s">
        <v>169</v>
      </c>
      <c r="C55" s="180"/>
      <c r="D55" s="180"/>
      <c r="E55" s="180"/>
      <c r="F55" s="180"/>
      <c r="G55" s="180"/>
      <c r="H55" s="180"/>
      <c r="I55" s="180"/>
      <c r="J55" s="180"/>
      <c r="K55" s="180"/>
    </row>
    <row r="56" spans="1:13" x14ac:dyDescent="0.2">
      <c r="A56" s="192"/>
      <c r="B56" s="192"/>
      <c r="C56" s="190">
        <f>EOMONTH(D56,-12)</f>
        <v>44196</v>
      </c>
      <c r="D56" s="190">
        <f>EOMONTH(E56,-12)</f>
        <v>44561</v>
      </c>
      <c r="E56" s="191">
        <v>44926</v>
      </c>
      <c r="F56" s="190">
        <f>EOMONTH(E56,12)</f>
        <v>45291</v>
      </c>
      <c r="G56" s="190">
        <f t="shared" ref="G56:K56" si="29">EOMONTH(F56,12)</f>
        <v>45657</v>
      </c>
      <c r="H56" s="190">
        <f t="shared" si="29"/>
        <v>46022</v>
      </c>
      <c r="I56" s="190">
        <f t="shared" si="29"/>
        <v>46387</v>
      </c>
      <c r="J56" s="190">
        <f t="shared" si="29"/>
        <v>46752</v>
      </c>
      <c r="K56" s="190">
        <f t="shared" si="29"/>
        <v>47118</v>
      </c>
      <c r="L56" s="192"/>
      <c r="M56" s="192"/>
    </row>
    <row r="57" spans="1:13" x14ac:dyDescent="0.2">
      <c r="B57" s="216" t="s">
        <v>170</v>
      </c>
      <c r="C57" s="195"/>
      <c r="D57" s="195"/>
      <c r="E57" s="230"/>
      <c r="F57" s="231"/>
      <c r="G57" s="231"/>
      <c r="H57" s="231"/>
      <c r="I57" s="231"/>
      <c r="J57" s="231"/>
      <c r="K57" s="231"/>
    </row>
    <row r="58" spans="1:13" x14ac:dyDescent="0.2">
      <c r="B58" s="232" t="s">
        <v>171</v>
      </c>
      <c r="C58" s="233">
        <v>847</v>
      </c>
      <c r="D58" s="233">
        <v>1990</v>
      </c>
      <c r="E58" s="234">
        <v>3389</v>
      </c>
      <c r="F58" s="233">
        <f ca="1">F158</f>
        <v>2500</v>
      </c>
      <c r="G58" s="195">
        <f ca="1">G158</f>
        <v>2500</v>
      </c>
      <c r="H58" s="195">
        <f ca="1">H158</f>
        <v>2500</v>
      </c>
      <c r="I58" s="195">
        <f t="shared" ref="I58:K58" ca="1" si="30">I158</f>
        <v>2500</v>
      </c>
      <c r="J58" s="195">
        <f t="shared" ca="1" si="30"/>
        <v>2500</v>
      </c>
      <c r="K58" s="195">
        <f t="shared" ca="1" si="30"/>
        <v>6611.4469407421166</v>
      </c>
    </row>
    <row r="59" spans="1:13" x14ac:dyDescent="0.2">
      <c r="B59" s="232" t="s">
        <v>172</v>
      </c>
      <c r="C59" s="233">
        <v>10714</v>
      </c>
      <c r="D59" s="233">
        <v>19218</v>
      </c>
      <c r="E59" s="234">
        <v>9907</v>
      </c>
      <c r="F59" s="233">
        <f>E59</f>
        <v>9907</v>
      </c>
      <c r="G59" s="233">
        <f t="shared" ref="G59:K59" si="31">F59</f>
        <v>9907</v>
      </c>
      <c r="H59" s="233">
        <f t="shared" si="31"/>
        <v>9907</v>
      </c>
      <c r="I59" s="233">
        <f t="shared" si="31"/>
        <v>9907</v>
      </c>
      <c r="J59" s="233">
        <f t="shared" si="31"/>
        <v>9907</v>
      </c>
      <c r="K59" s="233">
        <f t="shared" si="31"/>
        <v>9907</v>
      </c>
    </row>
    <row r="60" spans="1:13" x14ac:dyDescent="0.2">
      <c r="B60" s="232" t="s">
        <v>173</v>
      </c>
      <c r="C60" s="233">
        <v>2429</v>
      </c>
      <c r="D60" s="233">
        <v>4650</v>
      </c>
      <c r="E60" s="234">
        <v>3827</v>
      </c>
      <c r="F60" s="195">
        <f>F99</f>
        <v>5006.217923558841</v>
      </c>
      <c r="G60" s="195">
        <f t="shared" ref="G60:K62" si="32">G99</f>
        <v>6548.7896258588444</v>
      </c>
      <c r="H60" s="195">
        <f t="shared" si="32"/>
        <v>8566.6757257880199</v>
      </c>
      <c r="I60" s="195">
        <f t="shared" si="32"/>
        <v>11206.335396853001</v>
      </c>
      <c r="J60" s="195">
        <f t="shared" si="32"/>
        <v>14659.356446599786</v>
      </c>
      <c r="K60" s="195">
        <f t="shared" si="32"/>
        <v>19176.36085466572</v>
      </c>
    </row>
    <row r="61" spans="1:13" x14ac:dyDescent="0.2">
      <c r="B61" s="232" t="s">
        <v>174</v>
      </c>
      <c r="C61" s="233">
        <v>1826</v>
      </c>
      <c r="D61" s="233">
        <v>2605</v>
      </c>
      <c r="E61" s="234">
        <v>5159</v>
      </c>
      <c r="F61" s="195">
        <f>F100</f>
        <v>6748.6486197125841</v>
      </c>
      <c r="G61" s="195">
        <f t="shared" si="32"/>
        <v>8828.1175019090115</v>
      </c>
      <c r="H61" s="195">
        <f t="shared" si="32"/>
        <v>11548.335528962736</v>
      </c>
      <c r="I61" s="195">
        <f t="shared" si="32"/>
        <v>15106.737473834501</v>
      </c>
      <c r="J61" s="195">
        <f t="shared" si="32"/>
        <v>19761.593913772747</v>
      </c>
      <c r="K61" s="195">
        <f t="shared" si="32"/>
        <v>25850.756636848826</v>
      </c>
    </row>
    <row r="62" spans="1:13" x14ac:dyDescent="0.2">
      <c r="B62" s="232" t="s">
        <v>175</v>
      </c>
      <c r="C62" s="233">
        <v>239</v>
      </c>
      <c r="D62" s="233">
        <v>366</v>
      </c>
      <c r="E62" s="234">
        <v>791</v>
      </c>
      <c r="F62" s="195">
        <f>F101</f>
        <v>1034.7317422354438</v>
      </c>
      <c r="G62" s="195">
        <f t="shared" si="32"/>
        <v>1353.5648272940543</v>
      </c>
      <c r="H62" s="195">
        <f t="shared" si="32"/>
        <v>1770.640318551953</v>
      </c>
      <c r="I62" s="195">
        <f t="shared" si="32"/>
        <v>2316.2297619312058</v>
      </c>
      <c r="J62" s="195">
        <f t="shared" si="32"/>
        <v>3029.9323097100682</v>
      </c>
      <c r="K62" s="195">
        <f t="shared" si="32"/>
        <v>3963.5488466267529</v>
      </c>
    </row>
    <row r="63" spans="1:13" x14ac:dyDescent="0.2">
      <c r="B63" s="203" t="s">
        <v>176</v>
      </c>
      <c r="C63" s="212">
        <f t="shared" ref="C63:E63" si="33">SUM(C58:C62)</f>
        <v>16055</v>
      </c>
      <c r="D63" s="212">
        <f t="shared" si="33"/>
        <v>28829</v>
      </c>
      <c r="E63" s="235">
        <f t="shared" si="33"/>
        <v>23073</v>
      </c>
      <c r="F63" s="212">
        <f t="shared" ref="F63:K63" ca="1" si="34">SUM(F58:F62)</f>
        <v>25196.598285506869</v>
      </c>
      <c r="G63" s="212">
        <f t="shared" ca="1" si="34"/>
        <v>29137.471955061912</v>
      </c>
      <c r="H63" s="212">
        <f t="shared" ca="1" si="34"/>
        <v>34292.651573302712</v>
      </c>
      <c r="I63" s="212">
        <f t="shared" ca="1" si="34"/>
        <v>41036.30263261871</v>
      </c>
      <c r="J63" s="212">
        <f t="shared" ca="1" si="34"/>
        <v>49857.882670082603</v>
      </c>
      <c r="K63" s="212">
        <f t="shared" ca="1" si="34"/>
        <v>65509.113278883415</v>
      </c>
    </row>
    <row r="64" spans="1:13" x14ac:dyDescent="0.2">
      <c r="C64" s="195"/>
      <c r="D64" s="195"/>
      <c r="E64" s="230"/>
      <c r="F64" s="195"/>
      <c r="G64" s="195"/>
      <c r="H64" s="195"/>
      <c r="I64" s="195"/>
      <c r="J64" s="195"/>
      <c r="K64" s="195"/>
    </row>
    <row r="65" spans="2:11" x14ac:dyDescent="0.2">
      <c r="B65" t="s">
        <v>177</v>
      </c>
      <c r="C65" s="233">
        <v>2149</v>
      </c>
      <c r="D65" s="237">
        <v>2778</v>
      </c>
      <c r="E65" s="236">
        <v>3807</v>
      </c>
      <c r="F65" s="195">
        <f>F124</f>
        <v>5476.133058572148</v>
      </c>
      <c r="G65" s="195">
        <f t="shared" ref="G65:K65" si="35">G124</f>
        <v>7499.7802013493583</v>
      </c>
      <c r="H65" s="195">
        <f t="shared" si="35"/>
        <v>9987.178261947689</v>
      </c>
      <c r="I65" s="195">
        <f t="shared" si="35"/>
        <v>13081.223345504724</v>
      </c>
      <c r="J65" s="195">
        <f t="shared" si="35"/>
        <v>16968.842298831678</v>
      </c>
      <c r="K65" s="195">
        <f t="shared" si="35"/>
        <v>21894.559953624557</v>
      </c>
    </row>
    <row r="66" spans="2:11" x14ac:dyDescent="0.2">
      <c r="B66" t="s">
        <v>178</v>
      </c>
      <c r="C66" s="233">
        <v>707</v>
      </c>
      <c r="D66" s="237">
        <v>829</v>
      </c>
      <c r="E66" s="236">
        <v>1038</v>
      </c>
      <c r="F66" s="195"/>
      <c r="G66" s="195"/>
      <c r="H66" s="195"/>
      <c r="I66" s="195"/>
      <c r="J66" s="195"/>
      <c r="K66" s="195"/>
    </row>
    <row r="67" spans="2:11" x14ac:dyDescent="0.2">
      <c r="B67" t="s">
        <v>179</v>
      </c>
      <c r="C67" s="233">
        <v>4193</v>
      </c>
      <c r="D67" s="237">
        <v>4349</v>
      </c>
      <c r="E67" s="236">
        <v>4372</v>
      </c>
      <c r="F67" s="195">
        <f t="shared" ref="F67:K67" si="36">F131</f>
        <v>4372</v>
      </c>
      <c r="G67" s="195">
        <f t="shared" si="36"/>
        <v>4372</v>
      </c>
      <c r="H67" s="195">
        <f t="shared" si="36"/>
        <v>4372</v>
      </c>
      <c r="I67" s="195">
        <f t="shared" si="36"/>
        <v>4372</v>
      </c>
      <c r="J67" s="195">
        <f t="shared" si="36"/>
        <v>4372</v>
      </c>
      <c r="K67" s="195">
        <f t="shared" si="36"/>
        <v>4372</v>
      </c>
    </row>
    <row r="68" spans="2:11" x14ac:dyDescent="0.2">
      <c r="B68" t="s">
        <v>180</v>
      </c>
      <c r="C68" s="233">
        <v>2737</v>
      </c>
      <c r="D68" s="237">
        <v>2339</v>
      </c>
      <c r="E68" s="236">
        <v>1676</v>
      </c>
      <c r="F68" s="195">
        <f t="shared" ref="F68:K68" si="37">F129</f>
        <v>977</v>
      </c>
      <c r="G68" s="195">
        <f t="shared" si="37"/>
        <v>278</v>
      </c>
      <c r="H68" s="195">
        <f t="shared" si="37"/>
        <v>-421</v>
      </c>
      <c r="I68" s="195">
        <f t="shared" si="37"/>
        <v>-1120</v>
      </c>
      <c r="J68" s="195">
        <f t="shared" si="37"/>
        <v>-1819</v>
      </c>
      <c r="K68" s="195">
        <f t="shared" si="37"/>
        <v>-2518</v>
      </c>
    </row>
    <row r="69" spans="2:11" x14ac:dyDescent="0.2">
      <c r="B69" t="s">
        <v>181</v>
      </c>
      <c r="C69" s="233">
        <v>806</v>
      </c>
      <c r="D69" s="237">
        <v>1222</v>
      </c>
      <c r="E69" s="236">
        <v>3396</v>
      </c>
      <c r="F69" s="233">
        <f>E69</f>
        <v>3396</v>
      </c>
      <c r="G69" s="233">
        <f t="shared" ref="G69:K69" si="38">F69</f>
        <v>3396</v>
      </c>
      <c r="H69" s="233">
        <f t="shared" si="38"/>
        <v>3396</v>
      </c>
      <c r="I69" s="233">
        <f t="shared" si="38"/>
        <v>3396</v>
      </c>
      <c r="J69" s="233">
        <f t="shared" si="38"/>
        <v>3396</v>
      </c>
      <c r="K69" s="233">
        <f t="shared" si="38"/>
        <v>3396</v>
      </c>
    </row>
    <row r="70" spans="2:11" x14ac:dyDescent="0.2">
      <c r="B70" t="s">
        <v>182</v>
      </c>
      <c r="C70" s="233">
        <v>2144</v>
      </c>
      <c r="D70" s="237">
        <v>3841</v>
      </c>
      <c r="E70" s="236">
        <v>3820</v>
      </c>
      <c r="F70" s="233">
        <f>E70</f>
        <v>3820</v>
      </c>
      <c r="G70" s="233">
        <f t="shared" ref="G70:K70" si="39">F70</f>
        <v>3820</v>
      </c>
      <c r="H70" s="233">
        <f t="shared" si="39"/>
        <v>3820</v>
      </c>
      <c r="I70" s="233">
        <f t="shared" si="39"/>
        <v>3820</v>
      </c>
      <c r="J70" s="233">
        <f t="shared" si="39"/>
        <v>3820</v>
      </c>
      <c r="K70" s="233">
        <f t="shared" si="39"/>
        <v>3820</v>
      </c>
    </row>
    <row r="71" spans="2:11" x14ac:dyDescent="0.2">
      <c r="B71" s="203" t="s">
        <v>183</v>
      </c>
      <c r="C71" s="212">
        <f t="shared" ref="C71:E71" si="40">SUM(C65:C70)+C63</f>
        <v>28791</v>
      </c>
      <c r="D71" s="212">
        <f t="shared" si="40"/>
        <v>44187</v>
      </c>
      <c r="E71" s="235">
        <f t="shared" si="40"/>
        <v>41182</v>
      </c>
      <c r="F71" s="212">
        <f t="shared" ref="F71:K71" ca="1" si="41">SUM(F65:F70)+F63</f>
        <v>43237.731344079017</v>
      </c>
      <c r="G71" s="212">
        <f t="shared" ca="1" si="41"/>
        <v>48503.252156411269</v>
      </c>
      <c r="H71" s="212">
        <f t="shared" ca="1" si="41"/>
        <v>55446.829835250399</v>
      </c>
      <c r="I71" s="212">
        <f t="shared" ca="1" si="41"/>
        <v>64585.525978123434</v>
      </c>
      <c r="J71" s="212">
        <f t="shared" ca="1" si="41"/>
        <v>76595.724968914277</v>
      </c>
      <c r="K71" s="212">
        <f t="shared" ca="1" si="41"/>
        <v>96473.673232507979</v>
      </c>
    </row>
    <row r="72" spans="2:11" x14ac:dyDescent="0.2">
      <c r="C72" s="195"/>
      <c r="D72" s="195"/>
      <c r="E72" s="230"/>
      <c r="F72" s="195"/>
      <c r="G72" s="195"/>
      <c r="H72" s="195"/>
      <c r="I72" s="195"/>
      <c r="J72" s="195"/>
      <c r="K72" s="195"/>
    </row>
    <row r="73" spans="2:11" x14ac:dyDescent="0.2">
      <c r="B73" s="216" t="s">
        <v>184</v>
      </c>
      <c r="C73" s="195"/>
      <c r="D73" s="195"/>
      <c r="E73" s="230"/>
      <c r="F73" s="195"/>
      <c r="G73" s="195"/>
      <c r="H73" s="195"/>
      <c r="I73" s="195"/>
      <c r="J73" s="195"/>
      <c r="K73" s="195"/>
    </row>
    <row r="74" spans="2:11" x14ac:dyDescent="0.2">
      <c r="B74" t="s">
        <v>185</v>
      </c>
      <c r="C74" s="237">
        <v>1201</v>
      </c>
      <c r="D74" s="237">
        <v>1783</v>
      </c>
      <c r="E74" s="236">
        <v>1193</v>
      </c>
      <c r="F74" s="195">
        <f>F104</f>
        <v>1560.6004658494114</v>
      </c>
      <c r="G74" s="195">
        <f t="shared" ref="G74:K75" si="42">G104</f>
        <v>2041.4700871830682</v>
      </c>
      <c r="H74" s="195">
        <f t="shared" si="42"/>
        <v>2670.510619510088</v>
      </c>
      <c r="I74" s="195">
        <f t="shared" si="42"/>
        <v>3493.378136515712</v>
      </c>
      <c r="J74" s="195">
        <f t="shared" si="42"/>
        <v>4569.7967705235287</v>
      </c>
      <c r="K74" s="195">
        <f t="shared" si="42"/>
        <v>5977.8935196279599</v>
      </c>
    </row>
    <row r="75" spans="2:11" x14ac:dyDescent="0.2">
      <c r="B75" s="238" t="s">
        <v>186</v>
      </c>
      <c r="C75" s="237">
        <v>1725</v>
      </c>
      <c r="D75" s="237">
        <v>2552</v>
      </c>
      <c r="E75" s="236">
        <v>4120</v>
      </c>
      <c r="F75" s="195">
        <f>F105</f>
        <v>5389.5003514665341</v>
      </c>
      <c r="G75" s="195">
        <f t="shared" si="42"/>
        <v>7050.1733103053157</v>
      </c>
      <c r="H75" s="195">
        <f t="shared" si="42"/>
        <v>9222.5513431530289</v>
      </c>
      <c r="I75" s="195">
        <f t="shared" si="42"/>
        <v>12064.306724597429</v>
      </c>
      <c r="J75" s="195">
        <f t="shared" si="42"/>
        <v>15781.695469033477</v>
      </c>
      <c r="K75" s="195">
        <f t="shared" si="42"/>
        <v>20644.52749444023</v>
      </c>
    </row>
    <row r="76" spans="2:11" x14ac:dyDescent="0.2">
      <c r="B76" s="238" t="s">
        <v>187</v>
      </c>
      <c r="C76" s="237">
        <v>999</v>
      </c>
      <c r="D76" s="237">
        <v>0</v>
      </c>
      <c r="E76" s="236">
        <v>1250</v>
      </c>
      <c r="F76" s="233">
        <f>E76</f>
        <v>1250</v>
      </c>
      <c r="G76" s="233">
        <f t="shared" ref="G76:K76" si="43">F76</f>
        <v>1250</v>
      </c>
      <c r="H76" s="233">
        <f t="shared" si="43"/>
        <v>1250</v>
      </c>
      <c r="I76" s="233">
        <f t="shared" si="43"/>
        <v>1250</v>
      </c>
      <c r="J76" s="233">
        <f t="shared" si="43"/>
        <v>1250</v>
      </c>
      <c r="K76" s="233">
        <f t="shared" si="43"/>
        <v>1250</v>
      </c>
    </row>
    <row r="77" spans="2:11" x14ac:dyDescent="0.2">
      <c r="B77" s="239" t="s">
        <v>188</v>
      </c>
      <c r="C77" s="240">
        <f t="shared" ref="C77:E77" si="44">SUM(C74:C76)</f>
        <v>3925</v>
      </c>
      <c r="D77" s="240">
        <f t="shared" si="44"/>
        <v>4335</v>
      </c>
      <c r="E77" s="241">
        <f t="shared" si="44"/>
        <v>6563</v>
      </c>
      <c r="F77" s="240">
        <f t="shared" ref="F77:K77" si="45">SUM(F74:F76)</f>
        <v>8200.1008173159462</v>
      </c>
      <c r="G77" s="240">
        <f t="shared" si="45"/>
        <v>10341.643397488384</v>
      </c>
      <c r="H77" s="240">
        <f t="shared" si="45"/>
        <v>13143.061962663116</v>
      </c>
      <c r="I77" s="240">
        <f t="shared" si="45"/>
        <v>16807.684861113143</v>
      </c>
      <c r="J77" s="240">
        <f t="shared" si="45"/>
        <v>21601.492239557007</v>
      </c>
      <c r="K77" s="240">
        <f t="shared" si="45"/>
        <v>27872.42101406819</v>
      </c>
    </row>
    <row r="78" spans="2:11" x14ac:dyDescent="0.2">
      <c r="C78" s="195"/>
      <c r="D78" s="195"/>
      <c r="E78" s="230"/>
      <c r="F78" s="195"/>
      <c r="G78" s="195"/>
      <c r="H78" s="195"/>
      <c r="I78" s="195"/>
      <c r="J78" s="195"/>
      <c r="K78" s="195"/>
    </row>
    <row r="79" spans="2:11" x14ac:dyDescent="0.2">
      <c r="B79" s="238" t="s">
        <v>189</v>
      </c>
      <c r="C79" s="237">
        <v>5964</v>
      </c>
      <c r="D79" s="237">
        <v>10946</v>
      </c>
      <c r="E79" s="236">
        <v>9703</v>
      </c>
      <c r="F79" s="233">
        <f t="shared" ref="F79:K79" si="46">F192</f>
        <v>9703</v>
      </c>
      <c r="G79" s="233">
        <f t="shared" si="46"/>
        <v>9703</v>
      </c>
      <c r="H79" s="233">
        <f t="shared" si="46"/>
        <v>9703</v>
      </c>
      <c r="I79" s="233">
        <f t="shared" si="46"/>
        <v>9703</v>
      </c>
      <c r="J79" s="233">
        <f t="shared" si="46"/>
        <v>9703</v>
      </c>
      <c r="K79" s="233">
        <f t="shared" si="46"/>
        <v>9703</v>
      </c>
    </row>
    <row r="80" spans="2:11" x14ac:dyDescent="0.2">
      <c r="B80" s="238" t="s">
        <v>190</v>
      </c>
      <c r="C80" s="237">
        <v>634</v>
      </c>
      <c r="D80" s="237">
        <v>741</v>
      </c>
      <c r="E80" s="236">
        <v>902</v>
      </c>
      <c r="F80" s="233">
        <f>E80</f>
        <v>902</v>
      </c>
      <c r="G80" s="233">
        <f t="shared" ref="G80:K80" si="47">F80</f>
        <v>902</v>
      </c>
      <c r="H80" s="233">
        <f t="shared" si="47"/>
        <v>902</v>
      </c>
      <c r="I80" s="233">
        <f t="shared" si="47"/>
        <v>902</v>
      </c>
      <c r="J80" s="233">
        <f t="shared" si="47"/>
        <v>902</v>
      </c>
      <c r="K80" s="233">
        <f t="shared" si="47"/>
        <v>902</v>
      </c>
    </row>
    <row r="81" spans="2:11" x14ac:dyDescent="0.2">
      <c r="B81" s="238" t="s">
        <v>191</v>
      </c>
      <c r="C81" s="237">
        <v>1375</v>
      </c>
      <c r="D81" s="237">
        <v>1553</v>
      </c>
      <c r="E81" s="236">
        <v>1913</v>
      </c>
      <c r="F81" s="233">
        <f>E81</f>
        <v>1913</v>
      </c>
      <c r="G81" s="233">
        <f t="shared" ref="G81:K81" si="48">F81</f>
        <v>1913</v>
      </c>
      <c r="H81" s="233">
        <f t="shared" si="48"/>
        <v>1913</v>
      </c>
      <c r="I81" s="233">
        <f t="shared" si="48"/>
        <v>1913</v>
      </c>
      <c r="J81" s="233">
        <f t="shared" si="48"/>
        <v>1913</v>
      </c>
      <c r="K81" s="233">
        <f t="shared" si="48"/>
        <v>1913</v>
      </c>
    </row>
    <row r="82" spans="2:11" x14ac:dyDescent="0.2">
      <c r="B82" s="239" t="s">
        <v>192</v>
      </c>
      <c r="C82" s="212">
        <f>SUM(C77,C79:C81)</f>
        <v>11898</v>
      </c>
      <c r="D82" s="212">
        <f>SUM(D77,D79:D81)</f>
        <v>17575</v>
      </c>
      <c r="E82" s="235">
        <f>SUM(E77,E79:E81)</f>
        <v>19081</v>
      </c>
      <c r="F82" s="212">
        <f t="shared" ref="F82:K82" si="49">SUM(F74:F81)</f>
        <v>28918.201634631892</v>
      </c>
      <c r="G82" s="212">
        <f t="shared" si="49"/>
        <v>33201.286794976768</v>
      </c>
      <c r="H82" s="212">
        <f t="shared" si="49"/>
        <v>38804.123925326232</v>
      </c>
      <c r="I82" s="212">
        <f t="shared" si="49"/>
        <v>46133.369722226285</v>
      </c>
      <c r="J82" s="212">
        <f t="shared" si="49"/>
        <v>55720.984479114013</v>
      </c>
      <c r="K82" s="212">
        <f t="shared" si="49"/>
        <v>68262.84202813638</v>
      </c>
    </row>
    <row r="83" spans="2:11" x14ac:dyDescent="0.2">
      <c r="C83" s="195"/>
      <c r="D83" s="195"/>
      <c r="E83" s="230"/>
    </row>
    <row r="84" spans="2:11" x14ac:dyDescent="0.2">
      <c r="B84" s="242" t="s">
        <v>193</v>
      </c>
      <c r="C84" s="195"/>
      <c r="D84" s="195"/>
      <c r="E84" s="230"/>
    </row>
    <row r="85" spans="2:11" x14ac:dyDescent="0.2">
      <c r="B85" t="s">
        <v>194</v>
      </c>
      <c r="C85" s="233">
        <v>0</v>
      </c>
      <c r="D85" s="233">
        <v>0</v>
      </c>
      <c r="E85" s="234">
        <v>0</v>
      </c>
      <c r="F85" s="231"/>
      <c r="G85" s="231"/>
      <c r="H85" s="231"/>
      <c r="I85" s="231"/>
      <c r="J85" s="231"/>
      <c r="K85" s="231"/>
    </row>
    <row r="86" spans="2:11" x14ac:dyDescent="0.2">
      <c r="B86" t="s">
        <v>195</v>
      </c>
      <c r="C86" s="233">
        <v>1</v>
      </c>
      <c r="D86" s="233">
        <v>3</v>
      </c>
      <c r="E86" s="234">
        <v>2</v>
      </c>
      <c r="F86" s="231"/>
      <c r="G86" s="231"/>
      <c r="H86" s="231"/>
      <c r="I86" s="231"/>
      <c r="J86" s="231"/>
      <c r="K86" s="231"/>
    </row>
    <row r="87" spans="2:11" x14ac:dyDescent="0.2">
      <c r="B87" s="238" t="s">
        <v>196</v>
      </c>
      <c r="C87" s="237">
        <v>8721</v>
      </c>
      <c r="D87" s="237">
        <v>10385</v>
      </c>
      <c r="E87" s="236">
        <v>11971</v>
      </c>
      <c r="F87" s="231"/>
      <c r="G87" s="231"/>
      <c r="H87" s="231"/>
      <c r="I87" s="231"/>
      <c r="J87" s="231"/>
      <c r="K87" s="231"/>
    </row>
    <row r="88" spans="2:11" x14ac:dyDescent="0.2">
      <c r="B88" t="s">
        <v>197</v>
      </c>
      <c r="C88" s="233">
        <v>-10756</v>
      </c>
      <c r="D88" s="233">
        <v>0</v>
      </c>
      <c r="E88" s="234"/>
      <c r="F88" s="231"/>
      <c r="G88" s="231"/>
      <c r="H88" s="231"/>
      <c r="I88" s="231"/>
      <c r="J88" s="231"/>
      <c r="K88" s="231"/>
    </row>
    <row r="89" spans="2:11" x14ac:dyDescent="0.2">
      <c r="B89" t="s">
        <v>198</v>
      </c>
      <c r="C89" s="233">
        <v>19</v>
      </c>
      <c r="D89" s="233">
        <v>-11</v>
      </c>
      <c r="E89" s="234">
        <v>-43</v>
      </c>
      <c r="F89" s="231"/>
      <c r="G89" s="231"/>
      <c r="H89" s="231"/>
      <c r="I89" s="231"/>
      <c r="J89" s="231"/>
      <c r="K89" s="231"/>
    </row>
    <row r="90" spans="2:11" x14ac:dyDescent="0.2">
      <c r="B90" s="238" t="s">
        <v>199</v>
      </c>
      <c r="C90" s="237">
        <v>18908</v>
      </c>
      <c r="D90" s="237">
        <v>16235</v>
      </c>
      <c r="E90" s="236">
        <v>10171</v>
      </c>
      <c r="F90" s="231"/>
      <c r="G90" s="231"/>
      <c r="H90" s="231"/>
      <c r="I90" s="231"/>
      <c r="J90" s="231"/>
      <c r="K90" s="231"/>
    </row>
    <row r="91" spans="2:11" x14ac:dyDescent="0.2">
      <c r="B91" s="239" t="s">
        <v>200</v>
      </c>
      <c r="C91" s="243">
        <f t="shared" ref="C91:E91" si="50">C71-C82</f>
        <v>16893</v>
      </c>
      <c r="D91" s="243">
        <f t="shared" si="50"/>
        <v>26612</v>
      </c>
      <c r="E91" s="244">
        <f t="shared" si="50"/>
        <v>22101</v>
      </c>
      <c r="F91" s="245">
        <f t="shared" ref="F91:K91" ca="1" si="51">F71-F82</f>
        <v>14319.529709447124</v>
      </c>
      <c r="G91" s="245">
        <f t="shared" ca="1" si="51"/>
        <v>15301.965361434501</v>
      </c>
      <c r="H91" s="245">
        <f t="shared" ca="1" si="51"/>
        <v>16642.705909924167</v>
      </c>
      <c r="I91" s="245">
        <f t="shared" ca="1" si="51"/>
        <v>18452.156255897149</v>
      </c>
      <c r="J91" s="245">
        <f t="shared" ca="1" si="51"/>
        <v>20874.740489800264</v>
      </c>
      <c r="K91" s="245">
        <f t="shared" ca="1" si="51"/>
        <v>28210.8312043716</v>
      </c>
    </row>
    <row r="92" spans="2:11" x14ac:dyDescent="0.2">
      <c r="B92" s="239" t="s">
        <v>201</v>
      </c>
      <c r="C92" s="212">
        <f t="shared" ref="C92" si="52">SUM(C91,C82)</f>
        <v>28791</v>
      </c>
      <c r="D92" s="212">
        <f>SUM(D91,D82)</f>
        <v>44187</v>
      </c>
      <c r="E92" s="235">
        <f>SUM(E91,E82)</f>
        <v>41182</v>
      </c>
      <c r="F92" s="246">
        <f t="shared" ref="F92:K92" ca="1" si="53">SUM(F91,F82)</f>
        <v>43237.731344079017</v>
      </c>
      <c r="G92" s="246">
        <f t="shared" ca="1" si="53"/>
        <v>48503.252156411269</v>
      </c>
      <c r="H92" s="246">
        <f t="shared" ca="1" si="53"/>
        <v>55446.829835250399</v>
      </c>
      <c r="I92" s="246">
        <f t="shared" ca="1" si="53"/>
        <v>64585.525978123434</v>
      </c>
      <c r="J92" s="246">
        <f t="shared" ca="1" si="53"/>
        <v>76595.724968914277</v>
      </c>
      <c r="K92" s="246">
        <f t="shared" ca="1" si="53"/>
        <v>96473.673232507979</v>
      </c>
    </row>
    <row r="93" spans="2:11" x14ac:dyDescent="0.2">
      <c r="E93" s="208"/>
    </row>
    <row r="94" spans="2:11" x14ac:dyDescent="0.2">
      <c r="B94" s="203" t="s">
        <v>202</v>
      </c>
      <c r="C94" s="351">
        <f t="shared" ref="C94:K94" si="54">C71-C92</f>
        <v>0</v>
      </c>
      <c r="D94" s="351">
        <f t="shared" si="54"/>
        <v>0</v>
      </c>
      <c r="E94" s="352">
        <f t="shared" si="54"/>
        <v>0</v>
      </c>
      <c r="F94" s="351">
        <f t="shared" ca="1" si="54"/>
        <v>0</v>
      </c>
      <c r="G94" s="351">
        <f t="shared" ca="1" si="54"/>
        <v>0</v>
      </c>
      <c r="H94" s="351">
        <f t="shared" ca="1" si="54"/>
        <v>0</v>
      </c>
      <c r="I94" s="351">
        <f t="shared" ca="1" si="54"/>
        <v>0</v>
      </c>
      <c r="J94" s="351">
        <f t="shared" ca="1" si="54"/>
        <v>0</v>
      </c>
      <c r="K94" s="351">
        <f t="shared" ca="1" si="54"/>
        <v>0</v>
      </c>
    </row>
    <row r="96" spans="2:11" ht="20" x14ac:dyDescent="0.25">
      <c r="B96" s="187" t="s">
        <v>203</v>
      </c>
      <c r="C96" s="247"/>
      <c r="D96" s="248"/>
      <c r="E96" s="248"/>
      <c r="F96" s="248"/>
      <c r="G96" s="248"/>
      <c r="H96" s="248"/>
      <c r="I96" s="248"/>
      <c r="J96" s="248"/>
      <c r="K96" s="248"/>
    </row>
    <row r="97" spans="1:13" x14ac:dyDescent="0.2">
      <c r="A97" s="192"/>
      <c r="B97" s="192"/>
      <c r="C97" s="190">
        <f>EOMONTH(D97,-12)</f>
        <v>44196</v>
      </c>
      <c r="D97" s="190">
        <f>EOMONTH(E97,-12)</f>
        <v>44561</v>
      </c>
      <c r="E97" s="191">
        <v>44926</v>
      </c>
      <c r="F97" s="190">
        <f>EOMONTH(E97,12)</f>
        <v>45291</v>
      </c>
      <c r="G97" s="190">
        <f t="shared" ref="G97:K97" si="55">EOMONTH(F97,12)</f>
        <v>45657</v>
      </c>
      <c r="H97" s="190">
        <f t="shared" si="55"/>
        <v>46022</v>
      </c>
      <c r="I97" s="190">
        <f t="shared" si="55"/>
        <v>46387</v>
      </c>
      <c r="J97" s="190">
        <f t="shared" si="55"/>
        <v>46752</v>
      </c>
      <c r="K97" s="190">
        <f t="shared" si="55"/>
        <v>47118</v>
      </c>
      <c r="L97" s="192"/>
      <c r="M97" s="192"/>
    </row>
    <row r="98" spans="1:13" x14ac:dyDescent="0.2">
      <c r="B98" s="216" t="s">
        <v>204</v>
      </c>
      <c r="E98" s="208"/>
    </row>
    <row r="99" spans="1:13" x14ac:dyDescent="0.2">
      <c r="B99" s="249" t="s">
        <v>173</v>
      </c>
      <c r="C99" s="231">
        <f>C60</f>
        <v>2429</v>
      </c>
      <c r="D99" s="231">
        <f t="shared" ref="D99:E101" si="56">D60</f>
        <v>4650</v>
      </c>
      <c r="E99" s="250">
        <f t="shared" si="56"/>
        <v>3827</v>
      </c>
      <c r="F99" s="231">
        <f t="shared" ref="F99:K99" si="57">F112/365*F15</f>
        <v>5006.217923558841</v>
      </c>
      <c r="G99" s="231">
        <f t="shared" si="57"/>
        <v>6548.7896258588444</v>
      </c>
      <c r="H99" s="231">
        <f t="shared" si="57"/>
        <v>8566.6757257880199</v>
      </c>
      <c r="I99" s="231">
        <f t="shared" si="57"/>
        <v>11206.335396853001</v>
      </c>
      <c r="J99" s="231">
        <f t="shared" si="57"/>
        <v>14659.356446599786</v>
      </c>
      <c r="K99" s="231">
        <f t="shared" si="57"/>
        <v>19176.36085466572</v>
      </c>
    </row>
    <row r="100" spans="1:13" x14ac:dyDescent="0.2">
      <c r="B100" s="249" t="s">
        <v>174</v>
      </c>
      <c r="C100" s="231">
        <f>C61</f>
        <v>1826</v>
      </c>
      <c r="D100" s="231">
        <f t="shared" si="56"/>
        <v>2605</v>
      </c>
      <c r="E100" s="250">
        <f t="shared" si="56"/>
        <v>5159</v>
      </c>
      <c r="F100" s="231">
        <f t="shared" ref="F100:K100" si="58">F17/F113</f>
        <v>6748.6486197125841</v>
      </c>
      <c r="G100" s="231">
        <f t="shared" si="58"/>
        <v>8828.1175019090115</v>
      </c>
      <c r="H100" s="231">
        <f t="shared" si="58"/>
        <v>11548.335528962736</v>
      </c>
      <c r="I100" s="231">
        <f t="shared" si="58"/>
        <v>15106.737473834501</v>
      </c>
      <c r="J100" s="231">
        <f t="shared" si="58"/>
        <v>19761.593913772747</v>
      </c>
      <c r="K100" s="231">
        <f t="shared" si="58"/>
        <v>25850.756636848826</v>
      </c>
    </row>
    <row r="101" spans="1:13" x14ac:dyDescent="0.2">
      <c r="B101" s="249" t="s">
        <v>205</v>
      </c>
      <c r="C101" s="231">
        <f>C62</f>
        <v>239</v>
      </c>
      <c r="D101" s="231">
        <f t="shared" si="56"/>
        <v>366</v>
      </c>
      <c r="E101" s="251">
        <f t="shared" si="56"/>
        <v>791</v>
      </c>
      <c r="F101" s="231">
        <f t="shared" ref="F101:K101" si="59">F15*F114</f>
        <v>1034.7317422354438</v>
      </c>
      <c r="G101" s="231">
        <f t="shared" si="59"/>
        <v>1353.5648272940543</v>
      </c>
      <c r="H101" s="231">
        <f t="shared" si="59"/>
        <v>1770.640318551953</v>
      </c>
      <c r="I101" s="231">
        <f t="shared" si="59"/>
        <v>2316.2297619312058</v>
      </c>
      <c r="J101" s="231">
        <f t="shared" si="59"/>
        <v>3029.9323097100682</v>
      </c>
      <c r="K101" s="231">
        <f t="shared" si="59"/>
        <v>3963.5488466267529</v>
      </c>
    </row>
    <row r="102" spans="1:13" x14ac:dyDescent="0.2">
      <c r="B102" s="249" t="s">
        <v>206</v>
      </c>
      <c r="C102" s="252">
        <f>SUM(C99:C101)</f>
        <v>4494</v>
      </c>
      <c r="D102" s="252">
        <f t="shared" ref="D102:K102" si="60">SUM(D99:D101)</f>
        <v>7621</v>
      </c>
      <c r="E102" s="253">
        <f t="shared" si="60"/>
        <v>9777</v>
      </c>
      <c r="F102" s="252">
        <f t="shared" si="60"/>
        <v>12789.598285506871</v>
      </c>
      <c r="G102" s="252">
        <f t="shared" si="60"/>
        <v>16730.471955061912</v>
      </c>
      <c r="H102" s="252">
        <f t="shared" si="60"/>
        <v>21885.651573302708</v>
      </c>
      <c r="I102" s="252">
        <f t="shared" si="60"/>
        <v>28629.302632618706</v>
      </c>
      <c r="J102" s="252">
        <f t="shared" si="60"/>
        <v>37450.882670082603</v>
      </c>
      <c r="K102" s="252">
        <f t="shared" si="60"/>
        <v>48990.666338141302</v>
      </c>
    </row>
    <row r="103" spans="1:13" x14ac:dyDescent="0.2">
      <c r="B103" s="249"/>
      <c r="E103" s="208"/>
    </row>
    <row r="104" spans="1:13" x14ac:dyDescent="0.2">
      <c r="B104" s="249" t="s">
        <v>185</v>
      </c>
      <c r="C104" s="231">
        <f>C74</f>
        <v>1201</v>
      </c>
      <c r="D104" s="231">
        <f t="shared" ref="D104:E104" si="61">D74</f>
        <v>1783</v>
      </c>
      <c r="E104" s="250">
        <f t="shared" si="61"/>
        <v>1193</v>
      </c>
      <c r="F104" s="231">
        <f t="shared" ref="F104:K104" si="62">F116/365*F17</f>
        <v>1560.6004658494114</v>
      </c>
      <c r="G104" s="231">
        <f t="shared" si="62"/>
        <v>2041.4700871830682</v>
      </c>
      <c r="H104" s="231">
        <f t="shared" si="62"/>
        <v>2670.510619510088</v>
      </c>
      <c r="I104" s="231">
        <f t="shared" si="62"/>
        <v>3493.378136515712</v>
      </c>
      <c r="J104" s="231">
        <f t="shared" si="62"/>
        <v>4569.7967705235287</v>
      </c>
      <c r="K104" s="231">
        <f t="shared" si="62"/>
        <v>5977.8935196279599</v>
      </c>
    </row>
    <row r="105" spans="1:13" x14ac:dyDescent="0.2">
      <c r="B105" s="249" t="s">
        <v>207</v>
      </c>
      <c r="C105" s="231">
        <f t="shared" ref="C105:E105" si="63">C75</f>
        <v>1725</v>
      </c>
      <c r="D105" s="231">
        <f t="shared" si="63"/>
        <v>2552</v>
      </c>
      <c r="E105" s="250">
        <f t="shared" si="63"/>
        <v>4120</v>
      </c>
      <c r="F105" s="231">
        <f t="shared" ref="F105:K105" si="64">F17*F117</f>
        <v>5389.5003514665341</v>
      </c>
      <c r="G105" s="231">
        <f t="shared" si="64"/>
        <v>7050.1733103053157</v>
      </c>
      <c r="H105" s="231">
        <f t="shared" si="64"/>
        <v>9222.5513431530289</v>
      </c>
      <c r="I105" s="231">
        <f t="shared" si="64"/>
        <v>12064.306724597429</v>
      </c>
      <c r="J105" s="231">
        <f t="shared" si="64"/>
        <v>15781.695469033477</v>
      </c>
      <c r="K105" s="231">
        <f t="shared" si="64"/>
        <v>20644.52749444023</v>
      </c>
    </row>
    <row r="106" spans="1:13" x14ac:dyDescent="0.2">
      <c r="B106" s="249" t="s">
        <v>208</v>
      </c>
      <c r="C106" s="252">
        <f>SUM(C104:C105)</f>
        <v>2926</v>
      </c>
      <c r="D106" s="252">
        <f t="shared" ref="D106:K106" si="65">SUM(D104:D105)</f>
        <v>4335</v>
      </c>
      <c r="E106" s="253">
        <f t="shared" si="65"/>
        <v>5313</v>
      </c>
      <c r="F106" s="252">
        <f t="shared" si="65"/>
        <v>6950.1008173159453</v>
      </c>
      <c r="G106" s="252">
        <f t="shared" si="65"/>
        <v>9091.6433974883839</v>
      </c>
      <c r="H106" s="252">
        <f t="shared" si="65"/>
        <v>11893.061962663116</v>
      </c>
      <c r="I106" s="252">
        <f t="shared" si="65"/>
        <v>15557.684861113141</v>
      </c>
      <c r="J106" s="252">
        <f t="shared" si="65"/>
        <v>20351.492239557007</v>
      </c>
      <c r="K106" s="252">
        <f t="shared" si="65"/>
        <v>26622.42101406819</v>
      </c>
    </row>
    <row r="107" spans="1:13" x14ac:dyDescent="0.2">
      <c r="B107" s="249"/>
      <c r="E107" s="208"/>
    </row>
    <row r="108" spans="1:13" x14ac:dyDescent="0.2">
      <c r="B108" s="249" t="s">
        <v>209</v>
      </c>
      <c r="C108" s="231">
        <f>C102-C106</f>
        <v>1568</v>
      </c>
      <c r="D108" s="231">
        <f t="shared" ref="D108:K108" si="66">D102-D106</f>
        <v>3286</v>
      </c>
      <c r="E108" s="250">
        <f t="shared" si="66"/>
        <v>4464</v>
      </c>
      <c r="F108" s="231">
        <f t="shared" si="66"/>
        <v>5839.4974681909252</v>
      </c>
      <c r="G108" s="231">
        <f t="shared" si="66"/>
        <v>7638.8285575735281</v>
      </c>
      <c r="H108" s="231">
        <f t="shared" si="66"/>
        <v>9992.5896106395921</v>
      </c>
      <c r="I108" s="231">
        <f t="shared" si="66"/>
        <v>13071.617771505566</v>
      </c>
      <c r="J108" s="231">
        <f t="shared" si="66"/>
        <v>17099.390430525596</v>
      </c>
      <c r="K108" s="231">
        <f t="shared" si="66"/>
        <v>22368.245324073112</v>
      </c>
    </row>
    <row r="109" spans="1:13" x14ac:dyDescent="0.2">
      <c r="B109" s="254" t="s">
        <v>210</v>
      </c>
      <c r="C109" s="255"/>
      <c r="D109" s="246">
        <f>D108-C108</f>
        <v>1718</v>
      </c>
      <c r="E109" s="256">
        <f t="shared" ref="E109:K109" si="67">E108-D108</f>
        <v>1178</v>
      </c>
      <c r="F109" s="246">
        <f t="shared" si="67"/>
        <v>1375.4974681909252</v>
      </c>
      <c r="G109" s="246">
        <f t="shared" si="67"/>
        <v>1799.3310893826028</v>
      </c>
      <c r="H109" s="246">
        <f t="shared" si="67"/>
        <v>2353.7610530660641</v>
      </c>
      <c r="I109" s="246">
        <f t="shared" si="67"/>
        <v>3079.0281608659734</v>
      </c>
      <c r="J109" s="246">
        <f t="shared" si="67"/>
        <v>4027.7726590200309</v>
      </c>
      <c r="K109" s="246">
        <f t="shared" si="67"/>
        <v>5268.8548935475155</v>
      </c>
    </row>
    <row r="110" spans="1:13" x14ac:dyDescent="0.2">
      <c r="B110" s="249"/>
    </row>
    <row r="111" spans="1:13" x14ac:dyDescent="0.2">
      <c r="B111" s="257" t="s">
        <v>162</v>
      </c>
    </row>
    <row r="112" spans="1:13" x14ac:dyDescent="0.2">
      <c r="B112" s="249" t="s">
        <v>211</v>
      </c>
      <c r="C112" s="258">
        <f>C99/C15*365</f>
        <v>53.168515742128939</v>
      </c>
      <c r="D112" s="258">
        <f>D99/D15*365</f>
        <v>63.061975180203611</v>
      </c>
      <c r="E112" s="259">
        <f>E99/E15*365</f>
        <v>51.785237636242307</v>
      </c>
      <c r="F112" s="353">
        <f>E112</f>
        <v>51.785237636242307</v>
      </c>
      <c r="G112" s="353">
        <f t="shared" ref="G112:K112" si="68">F112</f>
        <v>51.785237636242307</v>
      </c>
      <c r="H112" s="353">
        <f t="shared" si="68"/>
        <v>51.785237636242307</v>
      </c>
      <c r="I112" s="353">
        <f t="shared" si="68"/>
        <v>51.785237636242307</v>
      </c>
      <c r="J112" s="353">
        <f t="shared" si="68"/>
        <v>51.785237636242307</v>
      </c>
      <c r="K112" s="353">
        <f t="shared" si="68"/>
        <v>51.785237636242307</v>
      </c>
    </row>
    <row r="113" spans="2:12" x14ac:dyDescent="0.2">
      <c r="B113" s="249" t="s">
        <v>212</v>
      </c>
      <c r="C113" s="260">
        <f>C17/C100</f>
        <v>2.8373493975903616</v>
      </c>
      <c r="D113" s="260">
        <f>D17/D100</f>
        <v>3.1727447216890594</v>
      </c>
      <c r="E113" s="261">
        <f>E17/E100</f>
        <v>1.9527040124055048</v>
      </c>
      <c r="F113" s="262">
        <f>E113</f>
        <v>1.9527040124055048</v>
      </c>
      <c r="G113" s="262">
        <f t="shared" ref="G113:K113" si="69">F113</f>
        <v>1.9527040124055048</v>
      </c>
      <c r="H113" s="262">
        <f t="shared" si="69"/>
        <v>1.9527040124055048</v>
      </c>
      <c r="I113" s="262">
        <f t="shared" si="69"/>
        <v>1.9527040124055048</v>
      </c>
      <c r="J113" s="262">
        <f t="shared" si="69"/>
        <v>1.9527040124055048</v>
      </c>
      <c r="K113" s="262">
        <f t="shared" si="69"/>
        <v>1.9527040124055048</v>
      </c>
    </row>
    <row r="114" spans="2:12" x14ac:dyDescent="0.2">
      <c r="B114" s="249" t="s">
        <v>213</v>
      </c>
      <c r="C114" s="263">
        <f>C101/C15</f>
        <v>1.4332833583208396E-2</v>
      </c>
      <c r="D114" s="263">
        <f>D101/D15</f>
        <v>1.359887047633202E-2</v>
      </c>
      <c r="E114" s="264">
        <f>E101/E15</f>
        <v>2.9324534737154295E-2</v>
      </c>
      <c r="F114" s="265">
        <f>E114</f>
        <v>2.9324534737154295E-2</v>
      </c>
      <c r="G114" s="265">
        <f t="shared" ref="G114:K114" si="70">F114</f>
        <v>2.9324534737154295E-2</v>
      </c>
      <c r="H114" s="265">
        <f t="shared" si="70"/>
        <v>2.9324534737154295E-2</v>
      </c>
      <c r="I114" s="265">
        <f t="shared" si="70"/>
        <v>2.9324534737154295E-2</v>
      </c>
      <c r="J114" s="265">
        <f t="shared" si="70"/>
        <v>2.9324534737154295E-2</v>
      </c>
      <c r="K114" s="265">
        <f t="shared" si="70"/>
        <v>2.9324534737154295E-2</v>
      </c>
      <c r="L114" s="263"/>
    </row>
    <row r="115" spans="2:12" x14ac:dyDescent="0.2">
      <c r="B115" s="249"/>
      <c r="E115" s="208"/>
    </row>
    <row r="116" spans="2:12" x14ac:dyDescent="0.2">
      <c r="B116" s="249" t="s">
        <v>214</v>
      </c>
      <c r="C116" s="258">
        <f>C104/C17*365</f>
        <v>84.6101138776298</v>
      </c>
      <c r="D116" s="258">
        <f>D104/D17*365</f>
        <v>78.741076830006051</v>
      </c>
      <c r="E116" s="259">
        <f>E104/E17*365</f>
        <v>43.224637681159422</v>
      </c>
      <c r="F116" s="353">
        <f>E116</f>
        <v>43.224637681159422</v>
      </c>
      <c r="G116" s="353">
        <f t="shared" ref="G116:K116" si="71">F116</f>
        <v>43.224637681159422</v>
      </c>
      <c r="H116" s="353">
        <f t="shared" si="71"/>
        <v>43.224637681159422</v>
      </c>
      <c r="I116" s="353">
        <f t="shared" si="71"/>
        <v>43.224637681159422</v>
      </c>
      <c r="J116" s="353">
        <f t="shared" si="71"/>
        <v>43.224637681159422</v>
      </c>
      <c r="K116" s="353">
        <f t="shared" si="71"/>
        <v>43.224637681159422</v>
      </c>
    </row>
    <row r="117" spans="2:12" x14ac:dyDescent="0.2">
      <c r="B117" s="249" t="s">
        <v>215</v>
      </c>
      <c r="C117" s="263">
        <f>C105/C17</f>
        <v>0.33294730746960044</v>
      </c>
      <c r="D117" s="263">
        <f>D105/D17</f>
        <v>0.30877192982456142</v>
      </c>
      <c r="E117" s="264">
        <f>E105/E17</f>
        <v>0.40897359539408379</v>
      </c>
      <c r="F117" s="265">
        <f>E117</f>
        <v>0.40897359539408379</v>
      </c>
      <c r="G117" s="265">
        <f t="shared" ref="G117:K117" si="72">F117</f>
        <v>0.40897359539408379</v>
      </c>
      <c r="H117" s="265">
        <f t="shared" si="72"/>
        <v>0.40897359539408379</v>
      </c>
      <c r="I117" s="265">
        <f t="shared" si="72"/>
        <v>0.40897359539408379</v>
      </c>
      <c r="J117" s="265">
        <f t="shared" si="72"/>
        <v>0.40897359539408379</v>
      </c>
      <c r="K117" s="265">
        <f t="shared" si="72"/>
        <v>0.40897359539408379</v>
      </c>
    </row>
    <row r="119" spans="2:12" ht="20" x14ac:dyDescent="0.25">
      <c r="B119" s="187" t="s">
        <v>216</v>
      </c>
      <c r="C119" s="180"/>
      <c r="D119" s="180"/>
      <c r="E119" s="180"/>
      <c r="F119" s="180"/>
      <c r="G119" s="180"/>
      <c r="H119" s="180"/>
      <c r="I119" s="180"/>
      <c r="J119" s="180"/>
      <c r="K119" s="180"/>
    </row>
    <row r="120" spans="2:12" x14ac:dyDescent="0.2">
      <c r="C120" s="190">
        <f>EOMONTH(D120,-12)</f>
        <v>44196</v>
      </c>
      <c r="D120" s="190">
        <f>EOMONTH(E120,-12)</f>
        <v>44561</v>
      </c>
      <c r="E120" s="191">
        <v>44926</v>
      </c>
      <c r="F120" s="190">
        <f>EOMONTH(E120,12)</f>
        <v>45291</v>
      </c>
      <c r="G120" s="190">
        <f t="shared" ref="G120:K120" si="73">EOMONTH(F120,12)</f>
        <v>45657</v>
      </c>
      <c r="H120" s="190">
        <f t="shared" si="73"/>
        <v>46022</v>
      </c>
      <c r="I120" s="190">
        <f t="shared" si="73"/>
        <v>46387</v>
      </c>
      <c r="J120" s="190">
        <f t="shared" si="73"/>
        <v>46752</v>
      </c>
      <c r="K120" s="190">
        <f t="shared" si="73"/>
        <v>47118</v>
      </c>
    </row>
    <row r="121" spans="2:12" x14ac:dyDescent="0.2">
      <c r="B121" s="249" t="s">
        <v>217</v>
      </c>
      <c r="C121" s="198"/>
      <c r="D121" s="266"/>
      <c r="E121" s="253">
        <f>D65</f>
        <v>2778</v>
      </c>
      <c r="F121" s="195">
        <f>E124</f>
        <v>3807</v>
      </c>
      <c r="G121" s="195">
        <f t="shared" ref="G121:K121" si="74">F124</f>
        <v>5476.133058572148</v>
      </c>
      <c r="H121" s="195">
        <f t="shared" si="74"/>
        <v>7499.7802013493583</v>
      </c>
      <c r="I121" s="195">
        <f t="shared" si="74"/>
        <v>9987.178261947689</v>
      </c>
      <c r="J121" s="195">
        <f t="shared" si="74"/>
        <v>13081.223345504724</v>
      </c>
      <c r="K121" s="195">
        <f t="shared" si="74"/>
        <v>16968.842298831678</v>
      </c>
    </row>
    <row r="122" spans="2:12" x14ac:dyDescent="0.2">
      <c r="B122" s="249" t="s">
        <v>150</v>
      </c>
      <c r="C122" s="198"/>
      <c r="D122" s="198"/>
      <c r="E122" s="218">
        <f>-E29</f>
        <v>-845</v>
      </c>
      <c r="F122" s="195">
        <f>-F274</f>
        <v>-782.30472265316394</v>
      </c>
      <c r="G122" s="195">
        <f t="shared" ref="G122:K122" si="75">-G274</f>
        <v>-1183.1549891432173</v>
      </c>
      <c r="H122" s="195">
        <f t="shared" si="75"/>
        <v>-1707.519710534867</v>
      </c>
      <c r="I122" s="195">
        <f t="shared" si="75"/>
        <v>-2393.4575382622816</v>
      </c>
      <c r="J122" s="195">
        <f t="shared" si="75"/>
        <v>-3290.7541799178866</v>
      </c>
      <c r="K122" s="195">
        <f t="shared" si="75"/>
        <v>-4464.5358705908538</v>
      </c>
    </row>
    <row r="123" spans="2:12" x14ac:dyDescent="0.2">
      <c r="B123" s="249" t="s">
        <v>218</v>
      </c>
      <c r="C123" s="198"/>
      <c r="D123" s="198"/>
      <c r="E123" s="250">
        <f>E124-SUM(E121:E122)</f>
        <v>1874</v>
      </c>
      <c r="F123" s="195">
        <f t="shared" ref="F123:K123" si="76">F15*F134</f>
        <v>2451.4377812253119</v>
      </c>
      <c r="G123" s="195">
        <f t="shared" si="76"/>
        <v>3206.8021319204272</v>
      </c>
      <c r="H123" s="195">
        <f t="shared" si="76"/>
        <v>4194.9177711331977</v>
      </c>
      <c r="I123" s="195">
        <f t="shared" si="76"/>
        <v>5487.5026218193161</v>
      </c>
      <c r="J123" s="195">
        <f t="shared" si="76"/>
        <v>7178.3731332448397</v>
      </c>
      <c r="K123" s="195">
        <f t="shared" si="76"/>
        <v>9390.2535253837359</v>
      </c>
    </row>
    <row r="124" spans="2:12" x14ac:dyDescent="0.2">
      <c r="B124" s="254" t="s">
        <v>219</v>
      </c>
      <c r="C124" s="255"/>
      <c r="D124" s="267"/>
      <c r="E124" s="256">
        <f>E65</f>
        <v>3807</v>
      </c>
      <c r="F124" s="212">
        <f>SUM(F121:F123)</f>
        <v>5476.133058572148</v>
      </c>
      <c r="G124" s="212">
        <f t="shared" ref="G124:K124" si="77">SUM(G121:G123)</f>
        <v>7499.7802013493583</v>
      </c>
      <c r="H124" s="212">
        <f t="shared" si="77"/>
        <v>9987.178261947689</v>
      </c>
      <c r="I124" s="212">
        <f t="shared" si="77"/>
        <v>13081.223345504724</v>
      </c>
      <c r="J124" s="212">
        <f t="shared" si="77"/>
        <v>16968.842298831678</v>
      </c>
      <c r="K124" s="212">
        <f t="shared" si="77"/>
        <v>21894.559953624557</v>
      </c>
    </row>
    <row r="125" spans="2:12" x14ac:dyDescent="0.2">
      <c r="B125" s="249"/>
      <c r="C125" s="198"/>
      <c r="D125" s="198"/>
      <c r="E125" s="208"/>
      <c r="F125" s="195"/>
      <c r="G125" s="195"/>
      <c r="H125" s="195"/>
      <c r="I125" s="195"/>
      <c r="J125" s="195"/>
      <c r="K125" s="195"/>
    </row>
    <row r="126" spans="2:12" x14ac:dyDescent="0.2">
      <c r="B126" s="249" t="s">
        <v>220</v>
      </c>
      <c r="C126" s="198"/>
      <c r="D126" s="198"/>
      <c r="E126" s="250">
        <f>D68</f>
        <v>2339</v>
      </c>
      <c r="F126" s="195">
        <f>E129</f>
        <v>1676</v>
      </c>
      <c r="G126" s="195">
        <f t="shared" ref="G126:K126" si="78">F129</f>
        <v>977</v>
      </c>
      <c r="H126" s="195">
        <f t="shared" si="78"/>
        <v>278</v>
      </c>
      <c r="I126" s="195">
        <f t="shared" si="78"/>
        <v>-421</v>
      </c>
      <c r="J126" s="195">
        <f t="shared" si="78"/>
        <v>-1120</v>
      </c>
      <c r="K126" s="195">
        <f t="shared" si="78"/>
        <v>-1819</v>
      </c>
    </row>
    <row r="127" spans="2:12" x14ac:dyDescent="0.2">
      <c r="B127" s="249" t="s">
        <v>151</v>
      </c>
      <c r="C127" s="198"/>
      <c r="D127" s="198"/>
      <c r="E127" s="218">
        <f>-E30</f>
        <v>-699</v>
      </c>
      <c r="F127" s="233">
        <f>E127</f>
        <v>-699</v>
      </c>
      <c r="G127" s="233">
        <f t="shared" ref="G127:K127" si="79">F127</f>
        <v>-699</v>
      </c>
      <c r="H127" s="233">
        <f t="shared" si="79"/>
        <v>-699</v>
      </c>
      <c r="I127" s="233">
        <f t="shared" si="79"/>
        <v>-699</v>
      </c>
      <c r="J127" s="233">
        <f t="shared" si="79"/>
        <v>-699</v>
      </c>
      <c r="K127" s="233">
        <f t="shared" si="79"/>
        <v>-699</v>
      </c>
    </row>
    <row r="128" spans="2:12" x14ac:dyDescent="0.2">
      <c r="B128" s="249" t="s">
        <v>221</v>
      </c>
      <c r="C128" s="198"/>
      <c r="D128" s="198"/>
      <c r="E128" s="250">
        <f>E129-SUM(E126:E127)</f>
        <v>36</v>
      </c>
      <c r="F128" s="231">
        <v>0</v>
      </c>
      <c r="G128" s="231">
        <v>0</v>
      </c>
      <c r="H128" s="231">
        <v>0</v>
      </c>
      <c r="I128" s="231">
        <v>0</v>
      </c>
      <c r="J128" s="231">
        <v>0</v>
      </c>
      <c r="K128" s="231">
        <v>0</v>
      </c>
    </row>
    <row r="129" spans="2:11" x14ac:dyDescent="0.2">
      <c r="B129" s="254" t="s">
        <v>222</v>
      </c>
      <c r="C129" s="255"/>
      <c r="D129" s="255"/>
      <c r="E129" s="256">
        <f>E68</f>
        <v>1676</v>
      </c>
      <c r="F129" s="212">
        <f>SUM(F126:F128)</f>
        <v>977</v>
      </c>
      <c r="G129" s="212">
        <f t="shared" ref="G129:K129" si="80">SUM(G126:G128)</f>
        <v>278</v>
      </c>
      <c r="H129" s="212">
        <f t="shared" si="80"/>
        <v>-421</v>
      </c>
      <c r="I129" s="212">
        <f t="shared" si="80"/>
        <v>-1120</v>
      </c>
      <c r="J129" s="212">
        <f t="shared" si="80"/>
        <v>-1819</v>
      </c>
      <c r="K129" s="212">
        <f t="shared" si="80"/>
        <v>-2518</v>
      </c>
    </row>
    <row r="130" spans="2:11" x14ac:dyDescent="0.2">
      <c r="B130" s="249"/>
      <c r="C130" s="198"/>
      <c r="D130" s="198"/>
      <c r="E130" s="208"/>
      <c r="F130" s="195"/>
      <c r="G130" s="195"/>
      <c r="H130" s="195"/>
      <c r="I130" s="195"/>
      <c r="J130" s="195"/>
      <c r="K130" s="195"/>
    </row>
    <row r="131" spans="2:11" x14ac:dyDescent="0.2">
      <c r="B131" s="249" t="s">
        <v>179</v>
      </c>
      <c r="C131" s="198"/>
      <c r="D131" s="198"/>
      <c r="E131" s="250">
        <f>E67</f>
        <v>4372</v>
      </c>
      <c r="F131" s="233">
        <f>E131</f>
        <v>4372</v>
      </c>
      <c r="G131" s="233">
        <f t="shared" ref="G131:K131" si="81">F131</f>
        <v>4372</v>
      </c>
      <c r="H131" s="233">
        <f t="shared" si="81"/>
        <v>4372</v>
      </c>
      <c r="I131" s="233">
        <f t="shared" si="81"/>
        <v>4372</v>
      </c>
      <c r="J131" s="233">
        <f t="shared" si="81"/>
        <v>4372</v>
      </c>
      <c r="K131" s="233">
        <f t="shared" si="81"/>
        <v>4372</v>
      </c>
    </row>
    <row r="132" spans="2:11" x14ac:dyDescent="0.2">
      <c r="B132" s="249"/>
      <c r="C132" s="198"/>
      <c r="D132" s="198"/>
      <c r="F132" s="231"/>
      <c r="G132" s="231"/>
      <c r="H132" s="231"/>
      <c r="I132" s="231"/>
      <c r="J132" s="231"/>
      <c r="K132" s="231"/>
    </row>
    <row r="133" spans="2:11" x14ac:dyDescent="0.2">
      <c r="B133" s="257" t="s">
        <v>162</v>
      </c>
      <c r="C133" s="198"/>
      <c r="D133" s="198"/>
      <c r="F133" s="231"/>
      <c r="G133" s="231"/>
      <c r="H133" s="231"/>
      <c r="I133" s="231"/>
      <c r="J133" s="231"/>
      <c r="K133" s="231"/>
    </row>
    <row r="134" spans="2:11" x14ac:dyDescent="0.2">
      <c r="B134" s="249" t="s">
        <v>223</v>
      </c>
      <c r="C134" s="198"/>
      <c r="D134" s="198"/>
      <c r="E134" s="268">
        <f>E123/E15</f>
        <v>6.9474308593460363E-2</v>
      </c>
      <c r="F134" s="269">
        <f>E134</f>
        <v>6.9474308593460363E-2</v>
      </c>
      <c r="G134" s="269">
        <f t="shared" ref="G134:K134" si="82">F134</f>
        <v>6.9474308593460363E-2</v>
      </c>
      <c r="H134" s="269">
        <f t="shared" si="82"/>
        <v>6.9474308593460363E-2</v>
      </c>
      <c r="I134" s="269">
        <f t="shared" si="82"/>
        <v>6.9474308593460363E-2</v>
      </c>
      <c r="J134" s="269">
        <f t="shared" si="82"/>
        <v>6.9474308593460363E-2</v>
      </c>
      <c r="K134" s="269">
        <f t="shared" si="82"/>
        <v>6.9474308593460363E-2</v>
      </c>
    </row>
    <row r="135" spans="2:11" x14ac:dyDescent="0.2">
      <c r="B135" s="249" t="s">
        <v>224</v>
      </c>
      <c r="C135" s="198"/>
      <c r="D135" s="198"/>
      <c r="E135" s="268">
        <f>-E122/E123</f>
        <v>0.45090715048025615</v>
      </c>
      <c r="F135" s="270">
        <f>E135</f>
        <v>0.45090715048025615</v>
      </c>
      <c r="G135" s="270">
        <f t="shared" ref="G135:K135" si="83">F135</f>
        <v>0.45090715048025615</v>
      </c>
      <c r="H135" s="270">
        <f t="shared" si="83"/>
        <v>0.45090715048025615</v>
      </c>
      <c r="I135" s="270">
        <f t="shared" si="83"/>
        <v>0.45090715048025615</v>
      </c>
      <c r="J135" s="270">
        <f t="shared" si="83"/>
        <v>0.45090715048025615</v>
      </c>
      <c r="K135" s="270">
        <f t="shared" si="83"/>
        <v>0.45090715048025615</v>
      </c>
    </row>
    <row r="137" spans="2:11" ht="20" x14ac:dyDescent="0.25">
      <c r="B137" s="187" t="s">
        <v>225</v>
      </c>
      <c r="C137" s="180"/>
      <c r="D137" s="180"/>
      <c r="E137" s="180"/>
      <c r="F137" s="180"/>
      <c r="G137" s="180"/>
      <c r="H137" s="180"/>
      <c r="I137" s="180"/>
      <c r="J137" s="180"/>
      <c r="K137" s="180"/>
    </row>
    <row r="138" spans="2:11" x14ac:dyDescent="0.2">
      <c r="C138" s="190">
        <f>EOMONTH(D138,-12)</f>
        <v>44196</v>
      </c>
      <c r="D138" s="190">
        <f>EOMONTH(E138,-12)</f>
        <v>44561</v>
      </c>
      <c r="E138" s="191">
        <v>44926</v>
      </c>
      <c r="F138" s="190">
        <f>EOMONTH(E138,12)</f>
        <v>45291</v>
      </c>
      <c r="G138" s="190">
        <f t="shared" ref="G138:K138" si="84">EOMONTH(F138,12)</f>
        <v>45657</v>
      </c>
      <c r="H138" s="190">
        <f t="shared" si="84"/>
        <v>46022</v>
      </c>
      <c r="I138" s="190">
        <f t="shared" si="84"/>
        <v>46387</v>
      </c>
      <c r="J138" s="190">
        <f t="shared" si="84"/>
        <v>46752</v>
      </c>
      <c r="K138" s="190">
        <f t="shared" si="84"/>
        <v>47118</v>
      </c>
    </row>
    <row r="139" spans="2:11" x14ac:dyDescent="0.2">
      <c r="B139" s="249" t="s">
        <v>159</v>
      </c>
      <c r="C139" s="266"/>
      <c r="D139" s="266"/>
      <c r="E139" s="271"/>
      <c r="F139" s="272">
        <f t="shared" ref="F139:K139" ca="1" si="85">F39</f>
        <v>7941.2390510462756</v>
      </c>
      <c r="G139" s="272">
        <f t="shared" ca="1" si="85"/>
        <v>10477.458327549519</v>
      </c>
      <c r="H139" s="272">
        <f t="shared" ca="1" si="85"/>
        <v>13824.853165595321</v>
      </c>
      <c r="I139" s="272">
        <f t="shared" ca="1" si="85"/>
        <v>18236.707106834721</v>
      </c>
      <c r="J139" s="272">
        <f t="shared" ca="1" si="85"/>
        <v>24041.3282175817</v>
      </c>
      <c r="K139" s="272">
        <f t="shared" ca="1" si="85"/>
        <v>31657.3999475499</v>
      </c>
    </row>
    <row r="140" spans="2:11" x14ac:dyDescent="0.2">
      <c r="B140" s="249" t="s">
        <v>150</v>
      </c>
      <c r="C140" s="273"/>
      <c r="D140" s="273"/>
      <c r="E140" s="274"/>
      <c r="F140" s="272">
        <f t="shared" ref="F140:K141" si="86">F29</f>
        <v>782.30472265316394</v>
      </c>
      <c r="G140" s="272">
        <f t="shared" si="86"/>
        <v>1183.1549891432173</v>
      </c>
      <c r="H140" s="272">
        <f t="shared" si="86"/>
        <v>1707.519710534867</v>
      </c>
      <c r="I140" s="272">
        <f t="shared" si="86"/>
        <v>2393.4575382622816</v>
      </c>
      <c r="J140" s="272">
        <f t="shared" si="86"/>
        <v>3290.7541799178866</v>
      </c>
      <c r="K140" s="272">
        <f t="shared" si="86"/>
        <v>4464.5358705908538</v>
      </c>
    </row>
    <row r="141" spans="2:11" x14ac:dyDescent="0.2">
      <c r="B141" s="249" t="s">
        <v>151</v>
      </c>
      <c r="C141" s="266"/>
      <c r="D141" s="266"/>
      <c r="E141" s="275"/>
      <c r="F141" s="272">
        <f t="shared" si="86"/>
        <v>699</v>
      </c>
      <c r="G141" s="272">
        <f t="shared" si="86"/>
        <v>699</v>
      </c>
      <c r="H141" s="272">
        <f t="shared" si="86"/>
        <v>699</v>
      </c>
      <c r="I141" s="272">
        <f t="shared" si="86"/>
        <v>699</v>
      </c>
      <c r="J141" s="272">
        <f t="shared" si="86"/>
        <v>699</v>
      </c>
      <c r="K141" s="272">
        <f t="shared" si="86"/>
        <v>699</v>
      </c>
    </row>
    <row r="142" spans="2:11" x14ac:dyDescent="0.2">
      <c r="B142" s="249" t="s">
        <v>226</v>
      </c>
      <c r="C142" s="273"/>
      <c r="D142" s="273"/>
      <c r="E142" s="274"/>
      <c r="F142" s="195">
        <f>-F109</f>
        <v>-1375.4974681909252</v>
      </c>
      <c r="G142" s="195">
        <f t="shared" ref="G142:K142" si="87">-G109</f>
        <v>-1799.3310893826028</v>
      </c>
      <c r="H142" s="195">
        <f t="shared" si="87"/>
        <v>-2353.7610530660641</v>
      </c>
      <c r="I142" s="195">
        <f t="shared" si="87"/>
        <v>-3079.0281608659734</v>
      </c>
      <c r="J142" s="195">
        <f t="shared" si="87"/>
        <v>-4027.7726590200309</v>
      </c>
      <c r="K142" s="195">
        <f t="shared" si="87"/>
        <v>-5268.8548935475155</v>
      </c>
    </row>
    <row r="143" spans="2:11" x14ac:dyDescent="0.2">
      <c r="B143" s="254" t="s">
        <v>227</v>
      </c>
      <c r="C143" s="276"/>
      <c r="D143" s="276"/>
      <c r="E143" s="277"/>
      <c r="F143" s="278">
        <f ca="1">SUM(F139:F142)</f>
        <v>8047.0463055085138</v>
      </c>
      <c r="G143" s="212">
        <f t="shared" ref="G143:K143" ca="1" si="88">SUM(G139:G142)</f>
        <v>10560.282227310134</v>
      </c>
      <c r="H143" s="212">
        <f t="shared" ca="1" si="88"/>
        <v>13877.611823064124</v>
      </c>
      <c r="I143" s="212">
        <f t="shared" ca="1" si="88"/>
        <v>18250.136484231029</v>
      </c>
      <c r="J143" s="212">
        <f t="shared" ca="1" si="88"/>
        <v>24003.309738479555</v>
      </c>
      <c r="K143" s="212">
        <f t="shared" ca="1" si="88"/>
        <v>31552.080924593236</v>
      </c>
    </row>
    <row r="144" spans="2:11" x14ac:dyDescent="0.2">
      <c r="B144" s="249"/>
      <c r="C144" s="273"/>
      <c r="D144" s="273"/>
      <c r="E144" s="274"/>
      <c r="F144" s="195"/>
      <c r="G144" s="195"/>
      <c r="H144" s="195"/>
      <c r="I144" s="195"/>
      <c r="J144" s="195"/>
      <c r="K144" s="195"/>
    </row>
    <row r="145" spans="2:11" x14ac:dyDescent="0.2">
      <c r="B145" s="249" t="s">
        <v>218</v>
      </c>
      <c r="C145" s="273"/>
      <c r="D145" s="273"/>
      <c r="E145" s="274"/>
      <c r="F145" s="195">
        <f>-F123</f>
        <v>-2451.4377812253119</v>
      </c>
      <c r="G145" s="195">
        <f t="shared" ref="G145:K145" si="89">-G123</f>
        <v>-3206.8021319204272</v>
      </c>
      <c r="H145" s="195">
        <f t="shared" si="89"/>
        <v>-4194.9177711331977</v>
      </c>
      <c r="I145" s="195">
        <f t="shared" si="89"/>
        <v>-5487.5026218193161</v>
      </c>
      <c r="J145" s="195">
        <f t="shared" si="89"/>
        <v>-7178.3731332448397</v>
      </c>
      <c r="K145" s="195">
        <f t="shared" si="89"/>
        <v>-9390.2535253837359</v>
      </c>
    </row>
    <row r="146" spans="2:11" x14ac:dyDescent="0.2">
      <c r="B146" s="254" t="s">
        <v>228</v>
      </c>
      <c r="C146" s="276"/>
      <c r="D146" s="276"/>
      <c r="E146" s="277"/>
      <c r="F146" s="278">
        <f>F145</f>
        <v>-2451.4377812253119</v>
      </c>
      <c r="G146" s="212">
        <f t="shared" ref="G146:K146" si="90">G145</f>
        <v>-3206.8021319204272</v>
      </c>
      <c r="H146" s="212">
        <f t="shared" si="90"/>
        <v>-4194.9177711331977</v>
      </c>
      <c r="I146" s="212">
        <f t="shared" si="90"/>
        <v>-5487.5026218193161</v>
      </c>
      <c r="J146" s="212">
        <f t="shared" si="90"/>
        <v>-7178.3731332448397</v>
      </c>
      <c r="K146" s="212">
        <f t="shared" si="90"/>
        <v>-9390.2535253837359</v>
      </c>
    </row>
    <row r="147" spans="2:11" x14ac:dyDescent="0.2">
      <c r="B147" s="249"/>
      <c r="C147" s="273"/>
      <c r="D147" s="273"/>
      <c r="E147" s="274"/>
      <c r="F147" s="195"/>
      <c r="G147" s="195"/>
      <c r="H147" s="195"/>
      <c r="I147" s="195"/>
      <c r="J147" s="195"/>
      <c r="K147" s="195"/>
    </row>
    <row r="148" spans="2:11" x14ac:dyDescent="0.2">
      <c r="B148" s="249" t="s">
        <v>229</v>
      </c>
      <c r="C148" s="266"/>
      <c r="D148" s="266"/>
      <c r="E148" s="275"/>
      <c r="F148" s="195">
        <f t="shared" ref="F148:K148" ca="1" si="91">F197</f>
        <v>4277.9750705694587</v>
      </c>
      <c r="G148" s="195">
        <f t="shared" ca="1" si="91"/>
        <v>3640.1967394007488</v>
      </c>
      <c r="H148" s="195">
        <f t="shared" ca="1" si="91"/>
        <v>1615.9880817474018</v>
      </c>
      <c r="I148" s="195">
        <f t="shared" ca="1" si="91"/>
        <v>-1061.9558796918823</v>
      </c>
      <c r="J148" s="195">
        <f t="shared" ca="1" si="91"/>
        <v>-4595.357706288396</v>
      </c>
      <c r="K148" s="195">
        <f t="shared" ca="1" si="91"/>
        <v>-5126.8463057373319</v>
      </c>
    </row>
    <row r="149" spans="2:11" x14ac:dyDescent="0.2">
      <c r="B149" s="249" t="s">
        <v>230</v>
      </c>
      <c r="C149" s="273"/>
      <c r="D149" s="273"/>
      <c r="E149" s="274"/>
      <c r="F149" s="195">
        <f t="shared" ref="F149:K149" si="92">F191</f>
        <v>54</v>
      </c>
      <c r="G149" s="195">
        <f t="shared" si="92"/>
        <v>220</v>
      </c>
      <c r="H149" s="195">
        <f t="shared" si="92"/>
        <v>198</v>
      </c>
      <c r="I149" s="195">
        <f t="shared" si="92"/>
        <v>180</v>
      </c>
      <c r="J149" s="195">
        <f t="shared" si="92"/>
        <v>166</v>
      </c>
      <c r="K149" s="195">
        <f t="shared" si="92"/>
        <v>144</v>
      </c>
    </row>
    <row r="150" spans="2:11" x14ac:dyDescent="0.2">
      <c r="B150" s="249" t="s">
        <v>231</v>
      </c>
      <c r="C150" s="273"/>
      <c r="D150" s="273"/>
      <c r="E150" s="274"/>
      <c r="F150" s="195">
        <f t="shared" ref="F150:K150" si="93">F190</f>
        <v>-54</v>
      </c>
      <c r="G150" s="195">
        <f t="shared" si="93"/>
        <v>-220</v>
      </c>
      <c r="H150" s="195">
        <f t="shared" si="93"/>
        <v>-198</v>
      </c>
      <c r="I150" s="195">
        <f t="shared" si="93"/>
        <v>-180</v>
      </c>
      <c r="J150" s="195">
        <f t="shared" si="93"/>
        <v>-166</v>
      </c>
      <c r="K150" s="195">
        <f t="shared" si="93"/>
        <v>-144</v>
      </c>
    </row>
    <row r="151" spans="2:11" x14ac:dyDescent="0.2">
      <c r="B151" s="249" t="s">
        <v>232</v>
      </c>
      <c r="C151" s="273"/>
      <c r="D151" s="273"/>
      <c r="E151" s="274"/>
      <c r="F151" s="195">
        <f>F165</f>
        <v>-10039</v>
      </c>
      <c r="G151" s="195">
        <f t="shared" ref="G151:K152" si="94">G165</f>
        <v>-10039</v>
      </c>
      <c r="H151" s="195">
        <f t="shared" si="94"/>
        <v>-10039</v>
      </c>
      <c r="I151" s="195">
        <f t="shared" si="94"/>
        <v>-10039</v>
      </c>
      <c r="J151" s="195">
        <f t="shared" si="94"/>
        <v>-10039</v>
      </c>
      <c r="K151" s="195">
        <f t="shared" si="94"/>
        <v>-10039</v>
      </c>
    </row>
    <row r="152" spans="2:11" x14ac:dyDescent="0.2">
      <c r="B152" s="249" t="s">
        <v>233</v>
      </c>
      <c r="C152" s="273"/>
      <c r="D152" s="273"/>
      <c r="E152" s="274"/>
      <c r="F152" s="195">
        <f ca="1">F166</f>
        <v>-723.58359485265964</v>
      </c>
      <c r="G152" s="195">
        <f t="shared" ca="1" si="94"/>
        <v>-954.67683479045525</v>
      </c>
      <c r="H152" s="195">
        <f t="shared" ca="1" si="94"/>
        <v>-1259.6821336783282</v>
      </c>
      <c r="I152" s="195">
        <f t="shared" ca="1" si="94"/>
        <v>-1661.6779827198302</v>
      </c>
      <c r="J152" s="195">
        <f t="shared" ca="1" si="94"/>
        <v>-2190.5788989463176</v>
      </c>
      <c r="K152" s="195">
        <f t="shared" ca="1" si="94"/>
        <v>-2884.5341527300502</v>
      </c>
    </row>
    <row r="153" spans="2:11" x14ac:dyDescent="0.2">
      <c r="B153" s="249" t="s">
        <v>234</v>
      </c>
      <c r="C153" s="273"/>
      <c r="D153" s="273"/>
      <c r="E153" s="274"/>
      <c r="F153" s="195"/>
      <c r="G153" s="195"/>
      <c r="H153" s="195"/>
      <c r="I153" s="195"/>
      <c r="J153" s="195"/>
      <c r="K153" s="195"/>
    </row>
    <row r="154" spans="2:11" x14ac:dyDescent="0.2">
      <c r="B154" s="254" t="s">
        <v>235</v>
      </c>
      <c r="C154" s="273"/>
      <c r="D154" s="273"/>
      <c r="E154" s="273"/>
      <c r="F154" s="279">
        <f ca="1">SUM(F148:F153)</f>
        <v>-6484.6085242832014</v>
      </c>
      <c r="G154" s="280">
        <f t="shared" ref="G154:K154" ca="1" si="95">SUM(G148:G153)</f>
        <v>-7353.4800953897065</v>
      </c>
      <c r="H154" s="280">
        <f t="shared" ca="1" si="95"/>
        <v>-9682.6940519309264</v>
      </c>
      <c r="I154" s="280">
        <f t="shared" ca="1" si="95"/>
        <v>-12762.633862411712</v>
      </c>
      <c r="J154" s="280">
        <f t="shared" ca="1" si="95"/>
        <v>-16824.936605234714</v>
      </c>
      <c r="K154" s="280">
        <f t="shared" ca="1" si="95"/>
        <v>-18050.380458467382</v>
      </c>
    </row>
    <row r="155" spans="2:11" x14ac:dyDescent="0.2">
      <c r="B155" s="249"/>
      <c r="C155" s="273"/>
      <c r="D155" s="273"/>
      <c r="E155" s="274"/>
      <c r="F155" s="195"/>
      <c r="G155" s="195"/>
      <c r="H155" s="195"/>
      <c r="I155" s="195"/>
      <c r="J155" s="195"/>
      <c r="K155" s="195"/>
    </row>
    <row r="156" spans="2:11" x14ac:dyDescent="0.2">
      <c r="B156" s="249" t="s">
        <v>236</v>
      </c>
      <c r="C156" s="281"/>
      <c r="D156" s="281"/>
      <c r="E156" s="282"/>
      <c r="F156" s="195">
        <f>E58</f>
        <v>3389</v>
      </c>
      <c r="G156" s="195">
        <f ca="1">F158</f>
        <v>2500</v>
      </c>
      <c r="H156" s="195">
        <f t="shared" ref="H156:K156" ca="1" si="96">G158</f>
        <v>2500</v>
      </c>
      <c r="I156" s="195">
        <f t="shared" ca="1" si="96"/>
        <v>2500</v>
      </c>
      <c r="J156" s="195">
        <f t="shared" ca="1" si="96"/>
        <v>2500</v>
      </c>
      <c r="K156" s="195">
        <f t="shared" ca="1" si="96"/>
        <v>2500</v>
      </c>
    </row>
    <row r="157" spans="2:11" x14ac:dyDescent="0.2">
      <c r="B157" s="249" t="s">
        <v>237</v>
      </c>
      <c r="C157" s="273"/>
      <c r="D157" s="273"/>
      <c r="E157" s="274"/>
      <c r="F157" s="195">
        <f ca="1">SUM(F143,F146,F154)</f>
        <v>-889</v>
      </c>
      <c r="G157" s="195">
        <f ca="1">SUM(G143,G146,G154)</f>
        <v>0</v>
      </c>
      <c r="H157" s="195">
        <f t="shared" ref="H157:K157" ca="1" si="97">SUM(H143,H146,H154)</f>
        <v>0</v>
      </c>
      <c r="I157" s="195">
        <f t="shared" ca="1" si="97"/>
        <v>0</v>
      </c>
      <c r="J157" s="195">
        <f t="shared" ca="1" si="97"/>
        <v>0</v>
      </c>
      <c r="K157" s="195">
        <f t="shared" ca="1" si="97"/>
        <v>4111.4469407421166</v>
      </c>
    </row>
    <row r="158" spans="2:11" x14ac:dyDescent="0.2">
      <c r="B158" s="249" t="s">
        <v>238</v>
      </c>
      <c r="C158" s="283"/>
      <c r="D158" s="283"/>
      <c r="E158" s="284"/>
      <c r="F158" s="279">
        <f ca="1">SUM(F157,F156)</f>
        <v>2500</v>
      </c>
      <c r="G158" s="280">
        <f t="shared" ref="G158:K158" ca="1" si="98">SUM(G157,G156)</f>
        <v>2500</v>
      </c>
      <c r="H158" s="280">
        <f t="shared" ca="1" si="98"/>
        <v>2500</v>
      </c>
      <c r="I158" s="280">
        <f t="shared" ca="1" si="98"/>
        <v>2500</v>
      </c>
      <c r="J158" s="280">
        <f t="shared" ca="1" si="98"/>
        <v>2500</v>
      </c>
      <c r="K158" s="280">
        <f t="shared" ca="1" si="98"/>
        <v>6611.4469407421166</v>
      </c>
    </row>
    <row r="159" spans="2:11" x14ac:dyDescent="0.2">
      <c r="B159" s="238"/>
      <c r="C159" s="285"/>
      <c r="D159" s="285"/>
      <c r="E159" s="285"/>
      <c r="F159" s="231"/>
      <c r="G159" s="231"/>
      <c r="H159" s="231"/>
      <c r="I159" s="231"/>
      <c r="J159" s="231"/>
      <c r="K159" s="231"/>
    </row>
    <row r="160" spans="2:11" ht="20" x14ac:dyDescent="0.2">
      <c r="B160" s="286" t="s">
        <v>239</v>
      </c>
      <c r="C160" s="287"/>
      <c r="D160" s="287"/>
      <c r="E160" s="287"/>
      <c r="F160" s="288"/>
      <c r="G160" s="288"/>
      <c r="H160" s="288"/>
      <c r="I160" s="288"/>
      <c r="J160" s="288"/>
      <c r="K160" s="288"/>
    </row>
    <row r="161" spans="2:12" x14ac:dyDescent="0.2">
      <c r="B161" s="238"/>
      <c r="C161" s="190">
        <f>EOMONTH(D161,-12)</f>
        <v>44196</v>
      </c>
      <c r="D161" s="190">
        <f>EOMONTH(E161,-12)</f>
        <v>44561</v>
      </c>
      <c r="E161" s="191">
        <v>44926</v>
      </c>
      <c r="F161" s="190">
        <f>EOMONTH(E161,12)</f>
        <v>45291</v>
      </c>
      <c r="G161" s="190">
        <f t="shared" ref="G161:K161" si="99">EOMONTH(F161,12)</f>
        <v>45657</v>
      </c>
      <c r="H161" s="190">
        <f t="shared" si="99"/>
        <v>46022</v>
      </c>
      <c r="I161" s="190">
        <f t="shared" si="99"/>
        <v>46387</v>
      </c>
      <c r="J161" s="190">
        <f t="shared" si="99"/>
        <v>46752</v>
      </c>
      <c r="K161" s="190">
        <f t="shared" si="99"/>
        <v>47118</v>
      </c>
    </row>
    <row r="162" spans="2:12" x14ac:dyDescent="0.2">
      <c r="B162" s="289" t="s">
        <v>240</v>
      </c>
      <c r="C162" s="273"/>
      <c r="D162" s="273"/>
      <c r="E162" s="277"/>
      <c r="F162" s="231"/>
      <c r="G162" s="231"/>
      <c r="H162" s="231"/>
      <c r="I162" s="231"/>
      <c r="J162" s="231"/>
      <c r="K162" s="231"/>
    </row>
    <row r="163" spans="2:12" x14ac:dyDescent="0.2">
      <c r="B163" s="249" t="s">
        <v>241</v>
      </c>
      <c r="C163" s="266"/>
      <c r="D163" s="266"/>
      <c r="E163" s="275"/>
      <c r="F163" s="195">
        <f>E91</f>
        <v>22101</v>
      </c>
      <c r="G163" s="195">
        <f ca="1">F168</f>
        <v>19279.655456193617</v>
      </c>
      <c r="H163" s="195">
        <f t="shared" ref="H163:K163" ca="1" si="100">G168</f>
        <v>18763.436948952683</v>
      </c>
      <c r="I163" s="195">
        <f t="shared" ca="1" si="100"/>
        <v>21289.607980869678</v>
      </c>
      <c r="J163" s="195">
        <f t="shared" ca="1" si="100"/>
        <v>27825.637104984566</v>
      </c>
      <c r="K163" s="195">
        <f t="shared" ca="1" si="100"/>
        <v>39637.386423619944</v>
      </c>
    </row>
    <row r="164" spans="2:12" x14ac:dyDescent="0.2">
      <c r="B164" s="249" t="s">
        <v>242</v>
      </c>
      <c r="C164" s="273"/>
      <c r="D164" s="273"/>
      <c r="E164" s="274"/>
      <c r="F164" s="195">
        <f t="shared" ref="F164:K164" ca="1" si="101">F39</f>
        <v>7941.2390510462756</v>
      </c>
      <c r="G164" s="195">
        <f t="shared" ca="1" si="101"/>
        <v>10477.458327549519</v>
      </c>
      <c r="H164" s="195">
        <f t="shared" ca="1" si="101"/>
        <v>13824.853165595321</v>
      </c>
      <c r="I164" s="195">
        <f t="shared" ca="1" si="101"/>
        <v>18236.707106834721</v>
      </c>
      <c r="J164" s="195">
        <f t="shared" ca="1" si="101"/>
        <v>24041.3282175817</v>
      </c>
      <c r="K164" s="195">
        <f t="shared" ca="1" si="101"/>
        <v>31657.3999475499</v>
      </c>
    </row>
    <row r="165" spans="2:12" x14ac:dyDescent="0.2">
      <c r="B165" s="249" t="s">
        <v>232</v>
      </c>
      <c r="C165" s="266"/>
      <c r="D165" s="266"/>
      <c r="E165" s="275"/>
      <c r="F165" s="233">
        <v>-10039</v>
      </c>
      <c r="G165" s="195">
        <f>F165</f>
        <v>-10039</v>
      </c>
      <c r="H165" s="195">
        <f t="shared" ref="H165:K165" si="102">G165</f>
        <v>-10039</v>
      </c>
      <c r="I165" s="195">
        <f t="shared" si="102"/>
        <v>-10039</v>
      </c>
      <c r="J165" s="195">
        <f t="shared" si="102"/>
        <v>-10039</v>
      </c>
      <c r="K165" s="195">
        <f t="shared" si="102"/>
        <v>-10039</v>
      </c>
    </row>
    <row r="166" spans="2:12" x14ac:dyDescent="0.2">
      <c r="B166" s="249" t="s">
        <v>233</v>
      </c>
      <c r="C166" s="273"/>
      <c r="D166" s="273"/>
      <c r="E166" s="274"/>
      <c r="F166" s="195">
        <f ca="1">-F172</f>
        <v>-723.58359485265964</v>
      </c>
      <c r="G166" s="195">
        <f t="shared" ref="G166:K166" ca="1" si="103">-G172</f>
        <v>-954.67683479045525</v>
      </c>
      <c r="H166" s="195">
        <f t="shared" ca="1" si="103"/>
        <v>-1259.6821336783282</v>
      </c>
      <c r="I166" s="195">
        <f t="shared" ca="1" si="103"/>
        <v>-1661.6779827198302</v>
      </c>
      <c r="J166" s="195">
        <f t="shared" ca="1" si="103"/>
        <v>-2190.5788989463176</v>
      </c>
      <c r="K166" s="195">
        <f t="shared" ca="1" si="103"/>
        <v>-2884.5341527300502</v>
      </c>
    </row>
    <row r="167" spans="2:12" x14ac:dyDescent="0.2">
      <c r="B167" s="249" t="s">
        <v>234</v>
      </c>
      <c r="C167" s="266"/>
      <c r="D167" s="266"/>
      <c r="E167" s="275"/>
      <c r="F167" s="195"/>
      <c r="G167" s="195"/>
      <c r="H167" s="195"/>
      <c r="I167" s="195"/>
      <c r="J167" s="195"/>
      <c r="K167" s="195"/>
    </row>
    <row r="168" spans="2:12" x14ac:dyDescent="0.2">
      <c r="B168" s="254" t="s">
        <v>243</v>
      </c>
      <c r="C168" s="276"/>
      <c r="D168" s="276"/>
      <c r="E168" s="277"/>
      <c r="F168" s="278">
        <f ca="1">SUM(F163:F167)</f>
        <v>19279.655456193617</v>
      </c>
      <c r="G168" s="212">
        <f t="shared" ref="G168:K168" ca="1" si="104">SUM(G163:G167)</f>
        <v>18763.436948952683</v>
      </c>
      <c r="H168" s="212">
        <f t="shared" ca="1" si="104"/>
        <v>21289.607980869678</v>
      </c>
      <c r="I168" s="212">
        <f t="shared" ca="1" si="104"/>
        <v>27825.637104984566</v>
      </c>
      <c r="J168" s="212">
        <f t="shared" ca="1" si="104"/>
        <v>39637.386423619944</v>
      </c>
      <c r="K168" s="212">
        <f t="shared" ca="1" si="104"/>
        <v>58371.252218439797</v>
      </c>
    </row>
    <row r="169" spans="2:12" x14ac:dyDescent="0.2">
      <c r="B169" s="249"/>
      <c r="C169" s="285"/>
      <c r="D169" s="285"/>
      <c r="E169" s="290"/>
      <c r="F169" s="231"/>
      <c r="G169" s="231"/>
      <c r="H169" s="231"/>
      <c r="I169" s="231"/>
      <c r="J169" s="231"/>
      <c r="K169" s="231"/>
    </row>
    <row r="170" spans="2:12" x14ac:dyDescent="0.2">
      <c r="B170" s="289" t="s">
        <v>233</v>
      </c>
      <c r="C170" s="285"/>
      <c r="D170" s="285"/>
      <c r="E170" s="290"/>
      <c r="F170" s="231"/>
      <c r="G170" s="231"/>
      <c r="H170" s="231"/>
      <c r="I170" s="231"/>
      <c r="J170" s="231"/>
      <c r="K170" s="231"/>
    </row>
    <row r="171" spans="2:12" x14ac:dyDescent="0.2">
      <c r="B171" s="249" t="s">
        <v>244</v>
      </c>
      <c r="C171" s="291">
        <f>C172/C39</f>
        <v>9.1181902123730382E-2</v>
      </c>
      <c r="D171" s="291">
        <f>D172/D39</f>
        <v>4.0914684167350286E-2</v>
      </c>
      <c r="E171" s="292">
        <f>E172/E39</f>
        <v>9.1117216117216113E-2</v>
      </c>
      <c r="F171" s="269">
        <f>E171</f>
        <v>9.1117216117216113E-2</v>
      </c>
      <c r="G171" s="269">
        <f t="shared" ref="G171:K171" si="105">F171</f>
        <v>9.1117216117216113E-2</v>
      </c>
      <c r="H171" s="269">
        <f t="shared" si="105"/>
        <v>9.1117216117216113E-2</v>
      </c>
      <c r="I171" s="269">
        <f t="shared" si="105"/>
        <v>9.1117216117216113E-2</v>
      </c>
      <c r="J171" s="269">
        <f t="shared" si="105"/>
        <v>9.1117216117216113E-2</v>
      </c>
      <c r="K171" s="269">
        <f t="shared" si="105"/>
        <v>9.1117216117216113E-2</v>
      </c>
    </row>
    <row r="172" spans="2:12" x14ac:dyDescent="0.2">
      <c r="B172" s="249" t="s">
        <v>233</v>
      </c>
      <c r="C172" s="293">
        <v>395</v>
      </c>
      <c r="D172" s="293">
        <v>399</v>
      </c>
      <c r="E172" s="294">
        <v>398</v>
      </c>
      <c r="F172" s="231">
        <f ca="1">F39*F171</f>
        <v>723.58359485265964</v>
      </c>
      <c r="G172" s="231">
        <f t="shared" ref="G172:K172" ca="1" si="106">G39*G171</f>
        <v>954.67683479045525</v>
      </c>
      <c r="H172" s="231">
        <f t="shared" ca="1" si="106"/>
        <v>1259.6821336783282</v>
      </c>
      <c r="I172" s="231">
        <f t="shared" ca="1" si="106"/>
        <v>1661.6779827198302</v>
      </c>
      <c r="J172" s="231">
        <f t="shared" ca="1" si="106"/>
        <v>2190.5788989463176</v>
      </c>
      <c r="K172" s="231">
        <f t="shared" ca="1" si="106"/>
        <v>2884.5341527300502</v>
      </c>
    </row>
    <row r="173" spans="2:12" x14ac:dyDescent="0.2">
      <c r="B173" s="249"/>
      <c r="C173" s="231"/>
      <c r="D173" s="231"/>
      <c r="E173" s="250"/>
      <c r="F173" s="231"/>
      <c r="G173" s="231"/>
      <c r="H173" s="231"/>
      <c r="I173" s="231"/>
      <c r="J173" s="231"/>
      <c r="K173" s="231"/>
    </row>
    <row r="174" spans="2:12" x14ac:dyDescent="0.2">
      <c r="B174" s="289" t="s">
        <v>234</v>
      </c>
      <c r="C174" s="285"/>
      <c r="D174" s="285"/>
      <c r="E174" s="290"/>
      <c r="F174" s="231"/>
      <c r="G174" s="231"/>
      <c r="H174" s="231"/>
      <c r="I174" s="231"/>
      <c r="J174" s="231"/>
      <c r="K174" s="231"/>
      <c r="L174" s="183" t="s">
        <v>245</v>
      </c>
    </row>
    <row r="175" spans="2:12" x14ac:dyDescent="0.2">
      <c r="B175" s="249" t="s">
        <v>246</v>
      </c>
      <c r="C175" s="272"/>
      <c r="D175" s="272"/>
      <c r="E175" s="295"/>
      <c r="F175" s="195"/>
      <c r="G175" s="195"/>
      <c r="H175" s="195"/>
      <c r="I175" s="195"/>
      <c r="J175" s="195"/>
      <c r="K175" s="195"/>
      <c r="L175" s="296">
        <f ca="1">E175+$L$175</f>
        <v>0</v>
      </c>
    </row>
    <row r="176" spans="2:12" x14ac:dyDescent="0.2">
      <c r="B176" s="249" t="s">
        <v>234</v>
      </c>
      <c r="C176" s="237"/>
      <c r="D176" s="237"/>
      <c r="E176" s="236"/>
      <c r="F176" s="195"/>
      <c r="G176" s="195"/>
      <c r="H176" s="195"/>
      <c r="I176" s="195"/>
      <c r="J176" s="195"/>
      <c r="K176" s="195"/>
    </row>
    <row r="177" spans="2:11" x14ac:dyDescent="0.2">
      <c r="B177" s="238"/>
      <c r="C177" s="285"/>
      <c r="D177" s="285"/>
      <c r="E177" s="285"/>
      <c r="F177" s="231"/>
      <c r="G177" s="231"/>
      <c r="H177" s="231"/>
      <c r="I177" s="231"/>
      <c r="J177" s="231"/>
      <c r="K177" s="231"/>
    </row>
    <row r="178" spans="2:11" ht="20" x14ac:dyDescent="0.2">
      <c r="B178" s="286" t="s">
        <v>247</v>
      </c>
      <c r="C178" s="287"/>
      <c r="D178" s="287"/>
      <c r="E178" s="287"/>
      <c r="F178" s="288"/>
      <c r="G178" s="288"/>
      <c r="H178" s="288"/>
      <c r="I178" s="288"/>
      <c r="J178" s="288"/>
      <c r="K178" s="288"/>
    </row>
    <row r="179" spans="2:11" x14ac:dyDescent="0.2">
      <c r="B179" s="242"/>
      <c r="C179" s="190">
        <f>EOMONTH(D179,-12)</f>
        <v>44196</v>
      </c>
      <c r="D179" s="190">
        <f>EOMONTH(E179,-12)</f>
        <v>44561</v>
      </c>
      <c r="E179" s="191">
        <v>44926</v>
      </c>
      <c r="F179" s="190">
        <f>EOMONTH(E179,12)</f>
        <v>45291</v>
      </c>
      <c r="G179" s="190">
        <f t="shared" ref="G179:K179" si="107">EOMONTH(F179,12)</f>
        <v>45657</v>
      </c>
      <c r="H179" s="190">
        <f t="shared" si="107"/>
        <v>46022</v>
      </c>
      <c r="I179" s="190">
        <f t="shared" si="107"/>
        <v>46387</v>
      </c>
      <c r="J179" s="190">
        <f t="shared" si="107"/>
        <v>46752</v>
      </c>
      <c r="K179" s="190">
        <f t="shared" si="107"/>
        <v>47118</v>
      </c>
    </row>
    <row r="180" spans="2:11" x14ac:dyDescent="0.2">
      <c r="B180" s="249" t="s">
        <v>248</v>
      </c>
      <c r="C180" s="273"/>
      <c r="D180" s="273"/>
      <c r="E180" s="274"/>
      <c r="F180" s="195">
        <f ca="1">F143+F146</f>
        <v>5595.6085242832014</v>
      </c>
      <c r="G180" s="195">
        <f t="shared" ref="G180:K180" ca="1" si="108">G143+G146</f>
        <v>7353.4800953897065</v>
      </c>
      <c r="H180" s="195">
        <f t="shared" ca="1" si="108"/>
        <v>9682.6940519309264</v>
      </c>
      <c r="I180" s="195">
        <f t="shared" ca="1" si="108"/>
        <v>12762.633862411712</v>
      </c>
      <c r="J180" s="195">
        <f t="shared" ca="1" si="108"/>
        <v>16824.936605234714</v>
      </c>
      <c r="K180" s="195">
        <f t="shared" ca="1" si="108"/>
        <v>22161.827399209498</v>
      </c>
    </row>
    <row r="181" spans="2:11" x14ac:dyDescent="0.2">
      <c r="B181" s="297" t="s">
        <v>249</v>
      </c>
      <c r="C181" s="273"/>
      <c r="D181" s="273"/>
      <c r="E181" s="274"/>
      <c r="F181" s="195">
        <f>F165</f>
        <v>-10039</v>
      </c>
      <c r="G181" s="195">
        <f t="shared" ref="G181:K182" si="109">G165</f>
        <v>-10039</v>
      </c>
      <c r="H181" s="195">
        <f t="shared" si="109"/>
        <v>-10039</v>
      </c>
      <c r="I181" s="195">
        <f t="shared" si="109"/>
        <v>-10039</v>
      </c>
      <c r="J181" s="195">
        <f t="shared" si="109"/>
        <v>-10039</v>
      </c>
      <c r="K181" s="195">
        <f t="shared" si="109"/>
        <v>-10039</v>
      </c>
    </row>
    <row r="182" spans="2:11" x14ac:dyDescent="0.2">
      <c r="B182" s="297" t="s">
        <v>233</v>
      </c>
      <c r="C182" s="198"/>
      <c r="D182" s="198"/>
      <c r="E182" s="223"/>
      <c r="F182" s="195">
        <f ca="1">F166</f>
        <v>-723.58359485265964</v>
      </c>
      <c r="G182" s="195">
        <f t="shared" ca="1" si="109"/>
        <v>-954.67683479045525</v>
      </c>
      <c r="H182" s="195">
        <f t="shared" ca="1" si="109"/>
        <v>-1259.6821336783282</v>
      </c>
      <c r="I182" s="195">
        <f t="shared" ca="1" si="109"/>
        <v>-1661.6779827198302</v>
      </c>
      <c r="J182" s="195">
        <f t="shared" ca="1" si="109"/>
        <v>-2190.5788989463176</v>
      </c>
      <c r="K182" s="195">
        <f t="shared" ca="1" si="109"/>
        <v>-2884.5341527300502</v>
      </c>
    </row>
    <row r="183" spans="2:11" x14ac:dyDescent="0.2">
      <c r="B183" s="297" t="s">
        <v>250</v>
      </c>
      <c r="C183" s="198"/>
      <c r="D183" s="198"/>
      <c r="E183" s="223"/>
      <c r="F183" s="195"/>
      <c r="G183" s="195"/>
      <c r="H183" s="195"/>
      <c r="I183" s="195"/>
      <c r="J183" s="195"/>
      <c r="K183" s="195"/>
    </row>
    <row r="184" spans="2:11" x14ac:dyDescent="0.2">
      <c r="B184" s="297" t="s">
        <v>251</v>
      </c>
      <c r="C184" s="198"/>
      <c r="D184" s="198"/>
      <c r="E184" s="223"/>
      <c r="F184" s="195">
        <f>E58</f>
        <v>3389</v>
      </c>
      <c r="G184" s="195">
        <f t="shared" ref="G184:K184" ca="1" si="110">F58</f>
        <v>2500</v>
      </c>
      <c r="H184" s="195">
        <f t="shared" ca="1" si="110"/>
        <v>2500</v>
      </c>
      <c r="I184" s="195">
        <f t="shared" ca="1" si="110"/>
        <v>2500</v>
      </c>
      <c r="J184" s="195">
        <f t="shared" ca="1" si="110"/>
        <v>2500</v>
      </c>
      <c r="K184" s="195">
        <f t="shared" ca="1" si="110"/>
        <v>2500</v>
      </c>
    </row>
    <row r="185" spans="2:11" x14ac:dyDescent="0.2">
      <c r="B185" s="297" t="s">
        <v>252</v>
      </c>
      <c r="C185" s="198"/>
      <c r="D185" s="198"/>
      <c r="E185" s="223"/>
      <c r="F185" s="233">
        <v>-2500</v>
      </c>
      <c r="G185" s="195">
        <v>-2500</v>
      </c>
      <c r="H185" s="195">
        <v>-2500</v>
      </c>
      <c r="I185" s="195">
        <v>-2500</v>
      </c>
      <c r="J185" s="195">
        <v>-2500</v>
      </c>
      <c r="K185" s="195">
        <v>-2500</v>
      </c>
    </row>
    <row r="186" spans="2:11" x14ac:dyDescent="0.2">
      <c r="B186" s="254" t="s">
        <v>253</v>
      </c>
      <c r="C186" s="255"/>
      <c r="D186" s="255"/>
      <c r="E186" s="298"/>
      <c r="F186" s="280">
        <f ca="1">SUM(F180:F185)</f>
        <v>-4277.9750705694587</v>
      </c>
      <c r="G186" s="280">
        <f ca="1">SUM(G180:G185)</f>
        <v>-3640.1967394007488</v>
      </c>
      <c r="H186" s="280">
        <f ca="1">SUM(H180:H185)</f>
        <v>-1615.9880817474018</v>
      </c>
      <c r="I186" s="280">
        <f t="shared" ref="I186:K186" ca="1" si="111">SUM(I180:I185)</f>
        <v>1061.9558796918823</v>
      </c>
      <c r="J186" s="280">
        <f t="shared" ca="1" si="111"/>
        <v>4595.357706288396</v>
      </c>
      <c r="K186" s="280">
        <f t="shared" ca="1" si="111"/>
        <v>9238.2932464794485</v>
      </c>
    </row>
    <row r="187" spans="2:11" x14ac:dyDescent="0.2">
      <c r="B187" s="249"/>
      <c r="C187" s="198"/>
      <c r="D187" s="198"/>
      <c r="E187" s="223"/>
      <c r="F187" s="195"/>
      <c r="G187" s="195"/>
      <c r="H187" s="195"/>
      <c r="I187" s="195"/>
      <c r="J187" s="195"/>
      <c r="K187" s="195"/>
    </row>
    <row r="188" spans="2:11" x14ac:dyDescent="0.2">
      <c r="B188" s="289" t="s">
        <v>189</v>
      </c>
      <c r="C188" s="198"/>
      <c r="D188" s="198"/>
      <c r="E188" s="223"/>
      <c r="F188" s="195"/>
      <c r="G188" s="195"/>
      <c r="H188" s="195"/>
      <c r="I188" s="195"/>
      <c r="J188" s="195"/>
      <c r="K188" s="195"/>
    </row>
    <row r="189" spans="2:11" x14ac:dyDescent="0.2">
      <c r="B189" s="249" t="s">
        <v>254</v>
      </c>
      <c r="C189" s="198"/>
      <c r="D189" s="198"/>
      <c r="E189" s="223"/>
      <c r="F189" s="195">
        <f>E79</f>
        <v>9703</v>
      </c>
      <c r="G189" s="195">
        <f t="shared" ref="G189:K189" si="112">F79</f>
        <v>9703</v>
      </c>
      <c r="H189" s="195">
        <f t="shared" si="112"/>
        <v>9703</v>
      </c>
      <c r="I189" s="195">
        <f t="shared" si="112"/>
        <v>9703</v>
      </c>
      <c r="J189" s="195">
        <f t="shared" si="112"/>
        <v>9703</v>
      </c>
      <c r="K189" s="195">
        <f t="shared" si="112"/>
        <v>9703</v>
      </c>
    </row>
    <row r="190" spans="2:11" x14ac:dyDescent="0.2">
      <c r="B190" s="249" t="s">
        <v>255</v>
      </c>
      <c r="C190" s="198"/>
      <c r="D190" s="198"/>
      <c r="E190" s="223"/>
      <c r="F190" s="233">
        <v>-54</v>
      </c>
      <c r="G190" s="233">
        <v>-220</v>
      </c>
      <c r="H190" s="233">
        <v>-198</v>
      </c>
      <c r="I190" s="233">
        <v>-180</v>
      </c>
      <c r="J190" s="233">
        <v>-166</v>
      </c>
      <c r="K190" s="233">
        <v>-144</v>
      </c>
    </row>
    <row r="191" spans="2:11" x14ac:dyDescent="0.2">
      <c r="B191" s="249" t="s">
        <v>256</v>
      </c>
      <c r="C191" s="198"/>
      <c r="D191" s="198"/>
      <c r="E191" s="223"/>
      <c r="F191" s="195">
        <f>-F190</f>
        <v>54</v>
      </c>
      <c r="G191" s="195">
        <f t="shared" ref="G191:K191" si="113">-G190</f>
        <v>220</v>
      </c>
      <c r="H191" s="195">
        <f t="shared" si="113"/>
        <v>198</v>
      </c>
      <c r="I191" s="195">
        <f t="shared" si="113"/>
        <v>180</v>
      </c>
      <c r="J191" s="195">
        <f t="shared" si="113"/>
        <v>166</v>
      </c>
      <c r="K191" s="195">
        <f t="shared" si="113"/>
        <v>144</v>
      </c>
    </row>
    <row r="192" spans="2:11" x14ac:dyDescent="0.2">
      <c r="B192" s="249" t="s">
        <v>257</v>
      </c>
      <c r="C192" s="255"/>
      <c r="D192" s="255"/>
      <c r="E192" s="255"/>
      <c r="F192" s="279">
        <f>SUM(F189:F191)</f>
        <v>9703</v>
      </c>
      <c r="G192" s="280">
        <f t="shared" ref="G192:K192" si="114">SUM(G189:G191)</f>
        <v>9703</v>
      </c>
      <c r="H192" s="280">
        <f t="shared" si="114"/>
        <v>9703</v>
      </c>
      <c r="I192" s="280">
        <f t="shared" si="114"/>
        <v>9703</v>
      </c>
      <c r="J192" s="280">
        <f t="shared" si="114"/>
        <v>9703</v>
      </c>
      <c r="K192" s="280">
        <f t="shared" si="114"/>
        <v>9703</v>
      </c>
    </row>
    <row r="193" spans="2:11" x14ac:dyDescent="0.2">
      <c r="B193" s="249"/>
      <c r="C193" s="198"/>
      <c r="D193" s="198"/>
      <c r="E193" s="223"/>
      <c r="F193" s="195"/>
      <c r="G193" s="195"/>
      <c r="H193" s="195"/>
      <c r="I193" s="195"/>
      <c r="J193" s="195"/>
      <c r="K193" s="195"/>
    </row>
    <row r="194" spans="2:11" x14ac:dyDescent="0.2">
      <c r="B194" s="289" t="s">
        <v>258</v>
      </c>
      <c r="C194" s="198"/>
      <c r="D194" s="198"/>
      <c r="E194" s="223"/>
      <c r="F194" s="195"/>
      <c r="G194" s="195"/>
      <c r="H194" s="195"/>
      <c r="I194" s="195"/>
      <c r="J194" s="195"/>
      <c r="K194" s="195"/>
    </row>
    <row r="195" spans="2:11" x14ac:dyDescent="0.2">
      <c r="B195" s="249" t="s">
        <v>259</v>
      </c>
      <c r="C195" s="198"/>
      <c r="D195" s="198"/>
      <c r="E195" s="223"/>
      <c r="F195" s="195">
        <f ca="1">F186+SUM(F190:F191)</f>
        <v>-4277.9750705694587</v>
      </c>
      <c r="G195" s="195">
        <f t="shared" ref="G195:K195" ca="1" si="115">G186+SUM(G190:G191)</f>
        <v>-3640.1967394007488</v>
      </c>
      <c r="H195" s="195">
        <f t="shared" ca="1" si="115"/>
        <v>-1615.9880817474018</v>
      </c>
      <c r="I195" s="195">
        <f t="shared" ca="1" si="115"/>
        <v>1061.9558796918823</v>
      </c>
      <c r="J195" s="195">
        <f t="shared" ca="1" si="115"/>
        <v>4595.357706288396</v>
      </c>
      <c r="K195" s="195">
        <f t="shared" ca="1" si="115"/>
        <v>9238.2932464794485</v>
      </c>
    </row>
    <row r="196" spans="2:11" x14ac:dyDescent="0.2">
      <c r="B196" s="249" t="s">
        <v>260</v>
      </c>
      <c r="C196" s="198"/>
      <c r="D196" s="198"/>
      <c r="E196" s="223"/>
      <c r="F196" s="195">
        <f>E76</f>
        <v>1250</v>
      </c>
      <c r="G196" s="195">
        <f ca="1">F198</f>
        <v>5527.9750705694587</v>
      </c>
      <c r="H196" s="195">
        <f t="shared" ref="H196:K196" ca="1" si="116">G198</f>
        <v>9168.1718099702084</v>
      </c>
      <c r="I196" s="195">
        <f t="shared" ca="1" si="116"/>
        <v>10784.159891717611</v>
      </c>
      <c r="J196" s="195">
        <f t="shared" ca="1" si="116"/>
        <v>9722.2040120257279</v>
      </c>
      <c r="K196" s="195">
        <f t="shared" ca="1" si="116"/>
        <v>5126.8463057373319</v>
      </c>
    </row>
    <row r="197" spans="2:11" x14ac:dyDescent="0.2">
      <c r="B197" s="249" t="s">
        <v>261</v>
      </c>
      <c r="C197" s="198"/>
      <c r="D197" s="198"/>
      <c r="E197" s="223"/>
      <c r="F197" s="195">
        <f ca="1">-MIN(F195:F196)</f>
        <v>4277.9750705694587</v>
      </c>
      <c r="G197" s="195">
        <f t="shared" ref="G197:K197" ca="1" si="117">-MIN(G195:G196)</f>
        <v>3640.1967394007488</v>
      </c>
      <c r="H197" s="195">
        <f t="shared" ca="1" si="117"/>
        <v>1615.9880817474018</v>
      </c>
      <c r="I197" s="195">
        <f t="shared" ca="1" si="117"/>
        <v>-1061.9558796918823</v>
      </c>
      <c r="J197" s="195">
        <f t="shared" ca="1" si="117"/>
        <v>-4595.357706288396</v>
      </c>
      <c r="K197" s="195">
        <f t="shared" ca="1" si="117"/>
        <v>-5126.8463057373319</v>
      </c>
    </row>
    <row r="198" spans="2:11" x14ac:dyDescent="0.2">
      <c r="B198" s="249" t="s">
        <v>262</v>
      </c>
      <c r="C198" s="255"/>
      <c r="D198" s="255"/>
      <c r="E198" s="298"/>
      <c r="F198" s="280">
        <f ca="1">SUM(F196:F197)</f>
        <v>5527.9750705694587</v>
      </c>
      <c r="G198" s="280">
        <f t="shared" ref="G198:K198" ca="1" si="118">SUM(G196:G197)</f>
        <v>9168.1718099702084</v>
      </c>
      <c r="H198" s="280">
        <f t="shared" ca="1" si="118"/>
        <v>10784.159891717611</v>
      </c>
      <c r="I198" s="280">
        <f t="shared" ca="1" si="118"/>
        <v>9722.2040120257279</v>
      </c>
      <c r="J198" s="280">
        <f t="shared" ca="1" si="118"/>
        <v>5126.8463057373319</v>
      </c>
      <c r="K198" s="280">
        <f t="shared" ca="1" si="118"/>
        <v>0</v>
      </c>
    </row>
    <row r="199" spans="2:11" x14ac:dyDescent="0.2">
      <c r="B199" s="249"/>
      <c r="C199" s="198"/>
      <c r="D199" s="198"/>
      <c r="E199" s="223"/>
      <c r="F199" s="195"/>
      <c r="G199" s="195"/>
      <c r="H199" s="195"/>
      <c r="I199" s="195"/>
      <c r="J199" s="195"/>
      <c r="K199" s="195"/>
    </row>
    <row r="200" spans="2:11" x14ac:dyDescent="0.2">
      <c r="B200" s="289" t="s">
        <v>263</v>
      </c>
      <c r="C200" s="198"/>
      <c r="D200" s="198"/>
      <c r="E200" s="223"/>
      <c r="F200" s="195"/>
      <c r="G200" s="195"/>
      <c r="H200" s="195"/>
      <c r="I200" s="195"/>
      <c r="J200" s="195"/>
      <c r="K200" s="195"/>
    </row>
    <row r="201" spans="2:11" x14ac:dyDescent="0.2">
      <c r="B201" s="249" t="s">
        <v>264</v>
      </c>
      <c r="C201" s="198"/>
      <c r="D201" s="198"/>
      <c r="E201" s="223"/>
      <c r="F201" s="265">
        <v>0.01</v>
      </c>
      <c r="G201" s="263">
        <v>0.01</v>
      </c>
      <c r="H201" s="263">
        <v>0.01</v>
      </c>
      <c r="I201" s="263">
        <v>0.01</v>
      </c>
      <c r="J201" s="263">
        <v>0.01</v>
      </c>
      <c r="K201" s="263">
        <v>0.01</v>
      </c>
    </row>
    <row r="202" spans="2:11" x14ac:dyDescent="0.2">
      <c r="B202" s="249" t="s">
        <v>265</v>
      </c>
      <c r="C202" s="198"/>
      <c r="D202" s="198"/>
      <c r="E202" s="223"/>
      <c r="F202" s="195">
        <f ca="1">AVERAGE(F196,F198)*F201</f>
        <v>33.889875352847291</v>
      </c>
      <c r="G202" s="195">
        <f t="shared" ref="G202:K202" ca="1" si="119">AVERAGE(G196,G198)*G201</f>
        <v>73.480734402698332</v>
      </c>
      <c r="H202" s="195">
        <f t="shared" ca="1" si="119"/>
        <v>99.761658508439112</v>
      </c>
      <c r="I202" s="195">
        <f t="shared" ca="1" si="119"/>
        <v>102.5318195187167</v>
      </c>
      <c r="J202" s="195">
        <f t="shared" ca="1" si="119"/>
        <v>74.245251588815307</v>
      </c>
      <c r="K202" s="195">
        <f t="shared" ca="1" si="119"/>
        <v>25.634231528686659</v>
      </c>
    </row>
    <row r="203" spans="2:11" x14ac:dyDescent="0.2">
      <c r="B203" s="249" t="s">
        <v>266</v>
      </c>
      <c r="C203" s="198"/>
      <c r="D203" s="198"/>
      <c r="E203" s="223"/>
      <c r="F203" s="265">
        <v>2.1999999999999999E-2</v>
      </c>
      <c r="G203" s="263">
        <f>F203</f>
        <v>2.1999999999999999E-2</v>
      </c>
      <c r="H203" s="263">
        <f t="shared" ref="H203:K203" si="120">G203</f>
        <v>2.1999999999999999E-2</v>
      </c>
      <c r="I203" s="263">
        <f t="shared" si="120"/>
        <v>2.1999999999999999E-2</v>
      </c>
      <c r="J203" s="263">
        <f t="shared" si="120"/>
        <v>2.1999999999999999E-2</v>
      </c>
      <c r="K203" s="263">
        <f t="shared" si="120"/>
        <v>2.1999999999999999E-2</v>
      </c>
    </row>
    <row r="204" spans="2:11" x14ac:dyDescent="0.2">
      <c r="B204" s="249" t="s">
        <v>267</v>
      </c>
      <c r="C204" s="198"/>
      <c r="D204" s="198"/>
      <c r="E204" s="223"/>
      <c r="F204" s="195">
        <f>AVERAGE(F189,F192)*F203</f>
        <v>213.46599999999998</v>
      </c>
      <c r="G204" s="195">
        <f t="shared" ref="G204:K204" si="121">AVERAGE(G189,G192)*G203</f>
        <v>213.46599999999998</v>
      </c>
      <c r="H204" s="195">
        <f t="shared" si="121"/>
        <v>213.46599999999998</v>
      </c>
      <c r="I204" s="195">
        <f t="shared" si="121"/>
        <v>213.46599999999998</v>
      </c>
      <c r="J204" s="195">
        <f t="shared" si="121"/>
        <v>213.46599999999998</v>
      </c>
      <c r="K204" s="195">
        <f t="shared" si="121"/>
        <v>213.46599999999998</v>
      </c>
    </row>
    <row r="205" spans="2:11" x14ac:dyDescent="0.2">
      <c r="B205" s="249" t="s">
        <v>268</v>
      </c>
      <c r="C205" s="198"/>
      <c r="D205" s="198"/>
      <c r="E205" s="223"/>
      <c r="F205" s="279">
        <f ca="1">SUM(F202,F204)</f>
        <v>247.35587535284728</v>
      </c>
      <c r="G205" s="280">
        <f ca="1">SUM(G202,G204)</f>
        <v>286.94673440269833</v>
      </c>
      <c r="H205" s="280">
        <f t="shared" ref="H205:K205" ca="1" si="122">SUM(H202,H204)</f>
        <v>313.22765850843911</v>
      </c>
      <c r="I205" s="280">
        <f t="shared" ca="1" si="122"/>
        <v>315.99781951871671</v>
      </c>
      <c r="J205" s="280">
        <f t="shared" ca="1" si="122"/>
        <v>287.71125158881529</v>
      </c>
      <c r="K205" s="280">
        <f t="shared" ca="1" si="122"/>
        <v>239.10023152868663</v>
      </c>
    </row>
    <row r="206" spans="2:11" x14ac:dyDescent="0.2">
      <c r="B206" s="249"/>
      <c r="C206" s="198"/>
      <c r="D206" s="198"/>
      <c r="E206" s="223"/>
      <c r="F206" s="195"/>
      <c r="G206" s="195"/>
      <c r="H206" s="195"/>
      <c r="I206" s="195"/>
      <c r="J206" s="195"/>
      <c r="K206" s="195"/>
    </row>
    <row r="207" spans="2:11" x14ac:dyDescent="0.2">
      <c r="B207" s="249" t="s">
        <v>269</v>
      </c>
      <c r="C207" s="198"/>
      <c r="D207" s="198"/>
      <c r="E207" s="223"/>
      <c r="F207" s="195">
        <f t="shared" ref="F207:K207" ca="1" si="123">AVERAGE(E58:F58)</f>
        <v>2944.5</v>
      </c>
      <c r="G207" s="195">
        <f t="shared" ca="1" si="123"/>
        <v>2500</v>
      </c>
      <c r="H207" s="195">
        <f t="shared" ca="1" si="123"/>
        <v>2500</v>
      </c>
      <c r="I207" s="195">
        <f t="shared" ca="1" si="123"/>
        <v>2500</v>
      </c>
      <c r="J207" s="195">
        <f t="shared" ca="1" si="123"/>
        <v>2500</v>
      </c>
      <c r="K207" s="195">
        <f t="shared" ca="1" si="123"/>
        <v>4555.7234703710583</v>
      </c>
    </row>
    <row r="208" spans="2:11" x14ac:dyDescent="0.2">
      <c r="B208" s="249" t="s">
        <v>270</v>
      </c>
      <c r="C208" s="198"/>
      <c r="D208" s="198"/>
      <c r="E208" s="223"/>
      <c r="F208" s="265">
        <v>5.0000000000000001E-3</v>
      </c>
      <c r="G208" s="263">
        <f>F208</f>
        <v>5.0000000000000001E-3</v>
      </c>
      <c r="H208" s="263">
        <f t="shared" ref="H208:K208" si="124">G208</f>
        <v>5.0000000000000001E-3</v>
      </c>
      <c r="I208" s="263">
        <f t="shared" si="124"/>
        <v>5.0000000000000001E-3</v>
      </c>
      <c r="J208" s="263">
        <f t="shared" si="124"/>
        <v>5.0000000000000001E-3</v>
      </c>
      <c r="K208" s="263">
        <f t="shared" si="124"/>
        <v>5.0000000000000001E-3</v>
      </c>
    </row>
    <row r="209" spans="2:11" x14ac:dyDescent="0.2">
      <c r="B209" s="249" t="s">
        <v>271</v>
      </c>
      <c r="C209" s="198"/>
      <c r="D209" s="198"/>
      <c r="E209" s="198"/>
      <c r="F209" s="279">
        <f ca="1">F207*F208</f>
        <v>14.7225</v>
      </c>
      <c r="G209" s="280">
        <f t="shared" ref="G209:K209" ca="1" si="125">G207*G208</f>
        <v>12.5</v>
      </c>
      <c r="H209" s="280">
        <f t="shared" ca="1" si="125"/>
        <v>12.5</v>
      </c>
      <c r="I209" s="280">
        <f t="shared" ca="1" si="125"/>
        <v>12.5</v>
      </c>
      <c r="J209" s="280">
        <f t="shared" ca="1" si="125"/>
        <v>12.5</v>
      </c>
      <c r="K209" s="280">
        <f t="shared" ca="1" si="125"/>
        <v>22.778617351855292</v>
      </c>
    </row>
    <row r="210" spans="2:11" x14ac:dyDescent="0.2">
      <c r="B210" s="249"/>
      <c r="C210" s="198"/>
      <c r="D210" s="198"/>
      <c r="E210" s="223"/>
      <c r="F210" s="195"/>
      <c r="G210" s="195"/>
      <c r="H210" s="195"/>
      <c r="I210" s="195"/>
      <c r="J210" s="195"/>
      <c r="K210" s="195"/>
    </row>
    <row r="211" spans="2:11" x14ac:dyDescent="0.2">
      <c r="B211" s="254" t="s">
        <v>272</v>
      </c>
      <c r="C211" s="198"/>
      <c r="D211" s="198"/>
      <c r="E211" s="223"/>
      <c r="F211" s="205">
        <f ca="1">F205-F209</f>
        <v>232.63337535284728</v>
      </c>
      <c r="G211" s="205">
        <f t="shared" ref="G211:K211" ca="1" si="126">G205-G209</f>
        <v>274.44673440269833</v>
      </c>
      <c r="H211" s="205">
        <f t="shared" ca="1" si="126"/>
        <v>300.72765850843911</v>
      </c>
      <c r="I211" s="205">
        <f t="shared" ca="1" si="126"/>
        <v>303.49781951871671</v>
      </c>
      <c r="J211" s="205">
        <f t="shared" ca="1" si="126"/>
        <v>275.21125158881529</v>
      </c>
      <c r="K211" s="205">
        <f t="shared" ca="1" si="126"/>
        <v>216.32161417683133</v>
      </c>
    </row>
    <row r="213" spans="2:11" ht="20" x14ac:dyDescent="0.25">
      <c r="B213" s="187" t="s">
        <v>273</v>
      </c>
      <c r="C213" s="187"/>
      <c r="D213" s="187"/>
      <c r="E213" s="187"/>
      <c r="F213" s="187"/>
      <c r="G213" s="187"/>
      <c r="H213" s="187"/>
      <c r="I213" s="187"/>
      <c r="J213" s="187"/>
      <c r="K213" s="187"/>
    </row>
    <row r="214" spans="2:11" x14ac:dyDescent="0.2">
      <c r="C214" s="190">
        <f>EOMONTH(D214,-12)</f>
        <v>44196</v>
      </c>
      <c r="D214" s="190">
        <f>EOMONTH(E214,-12)</f>
        <v>44561</v>
      </c>
      <c r="E214" s="191">
        <v>44926</v>
      </c>
      <c r="F214" s="190">
        <f>EOMONTH(E214,12)</f>
        <v>45291</v>
      </c>
      <c r="G214" s="190">
        <f t="shared" ref="G214:K214" si="127">EOMONTH(F214,12)</f>
        <v>45657</v>
      </c>
      <c r="H214" s="190">
        <f t="shared" si="127"/>
        <v>46022</v>
      </c>
      <c r="I214" s="190">
        <f t="shared" si="127"/>
        <v>46387</v>
      </c>
      <c r="J214" s="190">
        <f t="shared" si="127"/>
        <v>46752</v>
      </c>
      <c r="K214" s="190">
        <f t="shared" si="127"/>
        <v>47118</v>
      </c>
    </row>
    <row r="215" spans="2:11" x14ac:dyDescent="0.2">
      <c r="B215" t="s">
        <v>274</v>
      </c>
      <c r="C215" s="233">
        <v>2467</v>
      </c>
      <c r="D215" s="354">
        <v>2496</v>
      </c>
      <c r="E215" s="299">
        <v>2487</v>
      </c>
      <c r="F215" s="195">
        <f>E219</f>
        <v>2517</v>
      </c>
      <c r="G215" s="195">
        <f t="shared" ref="G215:K215" ca="1" si="128">F219</f>
        <v>2507.5339556900303</v>
      </c>
      <c r="H215" s="195">
        <f t="shared" ca="1" si="128"/>
        <v>2507.620201302967</v>
      </c>
      <c r="I215" s="195">
        <f t="shared" ca="1" si="128"/>
        <v>2514.8834991955227</v>
      </c>
      <c r="J215" s="195">
        <f t="shared" ca="1" si="128"/>
        <v>2527.560069185316</v>
      </c>
      <c r="K215" s="195">
        <f t="shared" ca="1" si="128"/>
        <v>2544.3317254962749</v>
      </c>
    </row>
    <row r="216" spans="2:11" x14ac:dyDescent="0.2">
      <c r="B216" s="249" t="s">
        <v>275</v>
      </c>
      <c r="C216" s="233">
        <v>35</v>
      </c>
      <c r="D216" s="233">
        <v>31</v>
      </c>
      <c r="E216" s="234">
        <v>30</v>
      </c>
      <c r="F216" s="233">
        <f>E216</f>
        <v>30</v>
      </c>
      <c r="G216" s="195">
        <f>F216</f>
        <v>30</v>
      </c>
      <c r="H216" s="195">
        <f t="shared" ref="H216:K217" si="129">G216</f>
        <v>30</v>
      </c>
      <c r="I216" s="195">
        <f t="shared" si="129"/>
        <v>30</v>
      </c>
      <c r="J216" s="195">
        <f t="shared" si="129"/>
        <v>30</v>
      </c>
      <c r="K216" s="195">
        <f t="shared" si="129"/>
        <v>30</v>
      </c>
    </row>
    <row r="217" spans="2:11" x14ac:dyDescent="0.2">
      <c r="B217" t="s">
        <v>276</v>
      </c>
      <c r="C217" s="233">
        <v>0</v>
      </c>
      <c r="D217" s="233">
        <v>0</v>
      </c>
      <c r="E217" s="234">
        <v>0</v>
      </c>
      <c r="F217" s="233">
        <f>E217</f>
        <v>0</v>
      </c>
      <c r="G217" s="233">
        <f t="shared" ref="G217" si="130">F217</f>
        <v>0</v>
      </c>
      <c r="H217" s="233">
        <f t="shared" si="129"/>
        <v>0</v>
      </c>
      <c r="I217" s="233">
        <f t="shared" si="129"/>
        <v>0</v>
      </c>
      <c r="J217" s="233">
        <f t="shared" si="129"/>
        <v>0</v>
      </c>
      <c r="K217" s="233">
        <f t="shared" si="129"/>
        <v>0</v>
      </c>
    </row>
    <row r="218" spans="2:11" x14ac:dyDescent="0.2">
      <c r="B218" t="s">
        <v>232</v>
      </c>
      <c r="C218" s="195">
        <f t="shared" ref="C218:D218" si="131">-C227</f>
        <v>0</v>
      </c>
      <c r="D218" s="202">
        <f t="shared" si="131"/>
        <v>-63</v>
      </c>
      <c r="E218" s="300">
        <v>0</v>
      </c>
      <c r="F218" s="195">
        <f ca="1">IF($C$11=1,-F227,0)</f>
        <v>-39.466044309969533</v>
      </c>
      <c r="G218" s="195">
        <f t="shared" ref="G218:K218" ca="1" si="132">IF($C$11=1,-G227,0)</f>
        <v>-29.913754387063179</v>
      </c>
      <c r="H218" s="195">
        <f t="shared" ca="1" si="132"/>
        <v>-22.736702107444231</v>
      </c>
      <c r="I218" s="195">
        <f t="shared" ca="1" si="132"/>
        <v>-17.323430010206806</v>
      </c>
      <c r="J218" s="195">
        <f t="shared" ca="1" si="132"/>
        <v>-13.22834368904115</v>
      </c>
      <c r="K218" s="195">
        <f t="shared" ca="1" si="132"/>
        <v>-10.124680393946404</v>
      </c>
    </row>
    <row r="219" spans="2:11" x14ac:dyDescent="0.2">
      <c r="B219" t="s">
        <v>277</v>
      </c>
      <c r="C219" s="280">
        <f t="shared" ref="C219:E219" si="133">SUM(C215:C218)</f>
        <v>2502</v>
      </c>
      <c r="D219" s="280">
        <f t="shared" si="133"/>
        <v>2464</v>
      </c>
      <c r="E219" s="301">
        <f t="shared" si="133"/>
        <v>2517</v>
      </c>
      <c r="F219" s="280">
        <f t="shared" ref="F219:K219" ca="1" si="134">SUM(F215:F218)</f>
        <v>2507.5339556900303</v>
      </c>
      <c r="G219" s="280">
        <f t="shared" ca="1" si="134"/>
        <v>2507.620201302967</v>
      </c>
      <c r="H219" s="280">
        <f t="shared" ca="1" si="134"/>
        <v>2514.8834991955227</v>
      </c>
      <c r="I219" s="280">
        <f t="shared" ca="1" si="134"/>
        <v>2527.560069185316</v>
      </c>
      <c r="J219" s="280">
        <f t="shared" ca="1" si="134"/>
        <v>2544.3317254962749</v>
      </c>
      <c r="K219" s="280">
        <f t="shared" ca="1" si="134"/>
        <v>2564.2070451023283</v>
      </c>
    </row>
    <row r="220" spans="2:11" x14ac:dyDescent="0.2">
      <c r="E220" s="208"/>
    </row>
    <row r="221" spans="2:11" x14ac:dyDescent="0.2">
      <c r="B221" t="s">
        <v>278</v>
      </c>
      <c r="C221" s="195">
        <f t="shared" ref="C221:E221" si="135">C222-C219</f>
        <v>8</v>
      </c>
      <c r="D221" s="195">
        <f t="shared" si="135"/>
        <v>71</v>
      </c>
      <c r="E221" s="230">
        <f t="shared" si="135"/>
        <v>-10</v>
      </c>
      <c r="F221" s="233">
        <f>E221</f>
        <v>-10</v>
      </c>
      <c r="G221">
        <f>F221</f>
        <v>-10</v>
      </c>
      <c r="H221">
        <f t="shared" ref="H221:K221" si="136">G221</f>
        <v>-10</v>
      </c>
      <c r="I221">
        <f t="shared" si="136"/>
        <v>-10</v>
      </c>
      <c r="J221">
        <f t="shared" si="136"/>
        <v>-10</v>
      </c>
      <c r="K221">
        <f t="shared" si="136"/>
        <v>-10</v>
      </c>
    </row>
    <row r="222" spans="2:11" x14ac:dyDescent="0.2">
      <c r="B222" t="s">
        <v>279</v>
      </c>
      <c r="C222" s="186">
        <v>2510</v>
      </c>
      <c r="D222" s="186">
        <v>2535</v>
      </c>
      <c r="E222" s="209">
        <v>2507</v>
      </c>
      <c r="F222" s="195">
        <f ca="1">F219+F221</f>
        <v>2497.5339556900303</v>
      </c>
      <c r="G222" s="195">
        <f t="shared" ref="G222:K222" ca="1" si="137">G219+G221</f>
        <v>2497.620201302967</v>
      </c>
      <c r="H222" s="195">
        <f t="shared" ca="1" si="137"/>
        <v>2504.8834991955227</v>
      </c>
      <c r="I222" s="195">
        <f t="shared" ca="1" si="137"/>
        <v>2517.560069185316</v>
      </c>
      <c r="J222" s="195">
        <f t="shared" ca="1" si="137"/>
        <v>2534.3317254962749</v>
      </c>
      <c r="K222" s="195">
        <f t="shared" ca="1" si="137"/>
        <v>2554.2070451023283</v>
      </c>
    </row>
    <row r="223" spans="2:11" x14ac:dyDescent="0.2">
      <c r="E223" s="208"/>
    </row>
    <row r="224" spans="2:11" x14ac:dyDescent="0.2">
      <c r="B224" s="302" t="s">
        <v>280</v>
      </c>
      <c r="E224" s="208"/>
    </row>
    <row r="225" spans="2:13" x14ac:dyDescent="0.2">
      <c r="B225" t="s">
        <v>281</v>
      </c>
      <c r="C225" s="303">
        <v>84.1</v>
      </c>
      <c r="D225" s="303">
        <v>74.599999999999994</v>
      </c>
      <c r="E225" s="304"/>
      <c r="F225" s="305">
        <v>80</v>
      </c>
      <c r="G225" s="306">
        <f>F225</f>
        <v>80</v>
      </c>
      <c r="H225" s="306">
        <f t="shared" ref="H225:K225" si="138">G225</f>
        <v>80</v>
      </c>
      <c r="I225" s="306">
        <f t="shared" si="138"/>
        <v>80</v>
      </c>
      <c r="J225" s="306">
        <f t="shared" si="138"/>
        <v>80</v>
      </c>
      <c r="K225" s="306">
        <f t="shared" si="138"/>
        <v>80</v>
      </c>
    </row>
    <row r="226" spans="2:13" x14ac:dyDescent="0.2">
      <c r="B226" t="s">
        <v>282</v>
      </c>
      <c r="C226" s="198"/>
      <c r="D226" s="198"/>
      <c r="E226" s="223"/>
      <c r="F226" s="307">
        <f ca="1">F225*F232</f>
        <v>254.3705652675215</v>
      </c>
      <c r="G226" s="307">
        <f t="shared" ref="G226:K226" ca="1" si="139">G225*G232</f>
        <v>335.59812887751639</v>
      </c>
      <c r="H226" s="307">
        <f t="shared" ca="1" si="139"/>
        <v>441.53281124764032</v>
      </c>
      <c r="I226" s="307">
        <f t="shared" ca="1" si="139"/>
        <v>579.50417406282202</v>
      </c>
      <c r="J226" s="307">
        <f t="shared" ca="1" si="139"/>
        <v>758.90075401629304</v>
      </c>
      <c r="K226" s="307">
        <f t="shared" ca="1" si="139"/>
        <v>991.53747174107014</v>
      </c>
      <c r="M226" s="307"/>
    </row>
    <row r="227" spans="2:13" x14ac:dyDescent="0.2">
      <c r="B227" t="s">
        <v>283</v>
      </c>
      <c r="C227" s="308">
        <v>0</v>
      </c>
      <c r="D227" s="308">
        <v>63</v>
      </c>
      <c r="E227" s="309">
        <v>0</v>
      </c>
      <c r="F227" s="280">
        <f ca="1">-F165/F226</f>
        <v>39.466044309969533</v>
      </c>
      <c r="G227" s="280">
        <f t="shared" ref="G227:K227" ca="1" si="140">-G165/G226</f>
        <v>29.913754387063179</v>
      </c>
      <c r="H227" s="280">
        <f t="shared" ca="1" si="140"/>
        <v>22.736702107444231</v>
      </c>
      <c r="I227" s="280">
        <f t="shared" ca="1" si="140"/>
        <v>17.323430010206806</v>
      </c>
      <c r="J227" s="280">
        <f t="shared" ca="1" si="140"/>
        <v>13.22834368904115</v>
      </c>
      <c r="K227" s="280">
        <f t="shared" ca="1" si="140"/>
        <v>10.124680393946404</v>
      </c>
    </row>
    <row r="228" spans="2:13" x14ac:dyDescent="0.2">
      <c r="E228" s="208"/>
    </row>
    <row r="229" spans="2:13" x14ac:dyDescent="0.2">
      <c r="B229" s="289" t="s">
        <v>284</v>
      </c>
      <c r="E229" s="208"/>
    </row>
    <row r="230" spans="2:13" x14ac:dyDescent="0.2">
      <c r="B230" s="249" t="s">
        <v>159</v>
      </c>
      <c r="C230" s="195">
        <f t="shared" ref="C230:E230" si="141">C39</f>
        <v>4332</v>
      </c>
      <c r="D230" s="195">
        <f t="shared" si="141"/>
        <v>9752</v>
      </c>
      <c r="E230" s="230">
        <f t="shared" si="141"/>
        <v>4368</v>
      </c>
      <c r="F230" s="195">
        <f t="shared" ref="F230:K230" ca="1" si="142">F39</f>
        <v>7941.2390510462756</v>
      </c>
      <c r="G230" s="195">
        <f t="shared" ca="1" si="142"/>
        <v>10477.458327549519</v>
      </c>
      <c r="H230" s="195">
        <f t="shared" ca="1" si="142"/>
        <v>13824.853165595321</v>
      </c>
      <c r="I230" s="195">
        <f t="shared" ca="1" si="142"/>
        <v>18236.707106834721</v>
      </c>
      <c r="J230" s="195">
        <f t="shared" ca="1" si="142"/>
        <v>24041.3282175817</v>
      </c>
      <c r="K230" s="195">
        <f t="shared" ca="1" si="142"/>
        <v>31657.3999475499</v>
      </c>
    </row>
    <row r="231" spans="2:13" x14ac:dyDescent="0.2">
      <c r="B231" s="249" t="s">
        <v>279</v>
      </c>
      <c r="C231" s="195">
        <f t="shared" ref="C231:E231" si="143">C222</f>
        <v>2510</v>
      </c>
      <c r="D231" s="202">
        <f t="shared" si="143"/>
        <v>2535</v>
      </c>
      <c r="E231" s="300">
        <f t="shared" si="143"/>
        <v>2507</v>
      </c>
      <c r="F231" s="195">
        <f t="shared" ref="F231:K231" ca="1" si="144">F222</f>
        <v>2497.5339556900303</v>
      </c>
      <c r="G231" s="195">
        <f t="shared" ca="1" si="144"/>
        <v>2497.620201302967</v>
      </c>
      <c r="H231" s="195">
        <f t="shared" ca="1" si="144"/>
        <v>2504.8834991955227</v>
      </c>
      <c r="I231" s="195">
        <f t="shared" ca="1" si="144"/>
        <v>2517.560069185316</v>
      </c>
      <c r="J231" s="195">
        <f t="shared" ca="1" si="144"/>
        <v>2534.3317254962749</v>
      </c>
      <c r="K231" s="195">
        <f t="shared" ca="1" si="144"/>
        <v>2554.2070451023283</v>
      </c>
    </row>
    <row r="232" spans="2:13" x14ac:dyDescent="0.2">
      <c r="B232" s="254" t="s">
        <v>284</v>
      </c>
      <c r="C232" s="310">
        <f t="shared" ref="C232:E232" si="145">C230/C231</f>
        <v>1.7258964143426294</v>
      </c>
      <c r="D232" s="310">
        <f t="shared" si="145"/>
        <v>3.8469428007889546</v>
      </c>
      <c r="E232" s="311">
        <f t="shared" si="145"/>
        <v>1.7423214998005585</v>
      </c>
      <c r="F232" s="310">
        <f t="shared" ref="F232:K232" ca="1" si="146">F230/F231</f>
        <v>3.1796320658440189</v>
      </c>
      <c r="G232" s="310">
        <f t="shared" ca="1" si="146"/>
        <v>4.194976610968955</v>
      </c>
      <c r="H232" s="310">
        <f t="shared" ca="1" si="146"/>
        <v>5.5191601405955044</v>
      </c>
      <c r="I232" s="310">
        <f t="shared" ca="1" si="146"/>
        <v>7.2438021757852757</v>
      </c>
      <c r="J232" s="310">
        <f t="shared" ca="1" si="146"/>
        <v>9.4862594252036629</v>
      </c>
      <c r="K232" s="310">
        <f t="shared" ca="1" si="146"/>
        <v>12.394218396763376</v>
      </c>
    </row>
    <row r="233" spans="2:13" x14ac:dyDescent="0.2">
      <c r="B233" s="203" t="s">
        <v>285</v>
      </c>
      <c r="C233" s="312">
        <f t="shared" ref="C233:E233" si="147">C230/C219</f>
        <v>1.7314148681055155</v>
      </c>
      <c r="D233" s="312">
        <f t="shared" si="147"/>
        <v>3.9577922077922079</v>
      </c>
      <c r="E233" s="313">
        <f t="shared" si="147"/>
        <v>1.735399284862932</v>
      </c>
      <c r="F233" s="312">
        <f ca="1">F230/F219</f>
        <v>3.1669517507534541</v>
      </c>
      <c r="G233" s="312">
        <f t="shared" ref="G233:K233" ca="1" si="148">G230/G219</f>
        <v>4.178247695606137</v>
      </c>
      <c r="H233" s="312">
        <f t="shared" ca="1" si="148"/>
        <v>5.4972141532670218</v>
      </c>
      <c r="I233" s="312">
        <f t="shared" ca="1" si="148"/>
        <v>7.2151429076472091</v>
      </c>
      <c r="J233" s="312">
        <f t="shared" ca="1" si="148"/>
        <v>9.4489755312438319</v>
      </c>
      <c r="K233" s="312">
        <f t="shared" ca="1" si="148"/>
        <v>12.345882914570407</v>
      </c>
    </row>
    <row r="235" spans="2:13" ht="20" x14ac:dyDescent="0.25">
      <c r="B235" s="187" t="s">
        <v>286</v>
      </c>
      <c r="C235" s="187"/>
      <c r="D235" s="187"/>
      <c r="E235" s="187"/>
      <c r="F235" s="187"/>
      <c r="G235" s="187"/>
      <c r="H235" s="187"/>
      <c r="I235" s="187"/>
      <c r="J235" s="187"/>
      <c r="K235" s="187"/>
    </row>
    <row r="236" spans="2:13" x14ac:dyDescent="0.2">
      <c r="C236" s="190">
        <f>EOMONTH(D236,-12)</f>
        <v>44196</v>
      </c>
      <c r="D236" s="190">
        <f>EOMONTH(E236,-12)</f>
        <v>44561</v>
      </c>
      <c r="E236" s="191">
        <v>44926</v>
      </c>
      <c r="F236" s="190">
        <f>EOMONTH(E236,12)</f>
        <v>45291</v>
      </c>
      <c r="G236" s="190">
        <f t="shared" ref="G236:K236" si="149">EOMONTH(F236,12)</f>
        <v>45657</v>
      </c>
      <c r="H236" s="190">
        <f t="shared" si="149"/>
        <v>46022</v>
      </c>
      <c r="I236" s="190">
        <f t="shared" si="149"/>
        <v>46387</v>
      </c>
      <c r="J236" s="190">
        <f t="shared" si="149"/>
        <v>46752</v>
      </c>
      <c r="K236" s="190">
        <f t="shared" si="149"/>
        <v>47118</v>
      </c>
    </row>
    <row r="237" spans="2:13" x14ac:dyDescent="0.2">
      <c r="B237" t="s">
        <v>287</v>
      </c>
      <c r="C237" s="233">
        <v>886</v>
      </c>
      <c r="D237" s="233">
        <v>3214</v>
      </c>
      <c r="E237" s="299">
        <v>4349</v>
      </c>
      <c r="F237" s="195">
        <f>E237*(1+F243)</f>
        <v>5884.6319000000003</v>
      </c>
      <c r="G237" s="195">
        <f t="shared" ref="G237:K237" si="150">F237*(1+G243)</f>
        <v>7962.49542389</v>
      </c>
      <c r="H237" s="195">
        <f t="shared" si="150"/>
        <v>10774.052558065559</v>
      </c>
      <c r="I237" s="195">
        <f t="shared" si="150"/>
        <v>14578.370516318508</v>
      </c>
      <c r="J237" s="195">
        <f t="shared" si="150"/>
        <v>19725.993145630571</v>
      </c>
      <c r="K237" s="195">
        <f t="shared" si="150"/>
        <v>26691.241325352727</v>
      </c>
    </row>
    <row r="238" spans="2:13" x14ac:dyDescent="0.2">
      <c r="B238" t="s">
        <v>288</v>
      </c>
      <c r="C238" s="233">
        <v>3025</v>
      </c>
      <c r="D238" s="233">
        <v>4531</v>
      </c>
      <c r="E238" s="234">
        <v>8544</v>
      </c>
      <c r="F238" s="195">
        <f t="shared" ref="F238:K239" si="151">E238*(1+F244)</f>
        <v>16111.4208</v>
      </c>
      <c r="G238" s="195">
        <f t="shared" si="151"/>
        <v>30381.306202559997</v>
      </c>
      <c r="H238" s="195">
        <f t="shared" si="151"/>
        <v>57290.029106167385</v>
      </c>
      <c r="I238" s="195">
        <f t="shared" si="151"/>
        <v>108031.80788549983</v>
      </c>
      <c r="J238" s="195">
        <f t="shared" si="151"/>
        <v>203715.58012968703</v>
      </c>
      <c r="K238" s="195">
        <f t="shared" si="151"/>
        <v>384146.46945055085</v>
      </c>
    </row>
    <row r="239" spans="2:13" x14ac:dyDescent="0.2">
      <c r="B239" t="s">
        <v>289</v>
      </c>
      <c r="C239" s="233">
        <v>7007</v>
      </c>
      <c r="D239" s="233">
        <v>8930</v>
      </c>
      <c r="E239" s="234">
        <v>14021</v>
      </c>
      <c r="F239" s="195">
        <f t="shared" si="151"/>
        <v>22014.372100000001</v>
      </c>
      <c r="G239" s="195">
        <f t="shared" si="151"/>
        <v>34564.765634210002</v>
      </c>
      <c r="H239" s="195">
        <f t="shared" si="151"/>
        <v>54270.138522273126</v>
      </c>
      <c r="I239" s="195">
        <f t="shared" si="151"/>
        <v>85209.544493821042</v>
      </c>
      <c r="J239" s="195">
        <f t="shared" si="151"/>
        <v>133787.50580974843</v>
      </c>
      <c r="K239" s="195">
        <f t="shared" si="151"/>
        <v>210059.76287188602</v>
      </c>
    </row>
    <row r="240" spans="2:13" x14ac:dyDescent="0.2">
      <c r="B240" s="203" t="s">
        <v>55</v>
      </c>
      <c r="C240" s="212">
        <f>SUM(C237:C239)</f>
        <v>10918</v>
      </c>
      <c r="D240" s="212">
        <f t="shared" ref="D240:K240" si="152">SUM(D237:D239)</f>
        <v>16675</v>
      </c>
      <c r="E240" s="235">
        <f t="shared" si="152"/>
        <v>26914</v>
      </c>
      <c r="F240" s="212">
        <f>SUM(F237:F239)</f>
        <v>44010.424800000001</v>
      </c>
      <c r="G240" s="212">
        <f t="shared" si="152"/>
        <v>72908.567260659998</v>
      </c>
      <c r="H240" s="212">
        <f t="shared" si="152"/>
        <v>122334.22018650608</v>
      </c>
      <c r="I240" s="212">
        <f t="shared" si="152"/>
        <v>207819.72289563937</v>
      </c>
      <c r="J240" s="212">
        <f t="shared" si="152"/>
        <v>357229.07908506604</v>
      </c>
      <c r="K240" s="212">
        <f t="shared" si="152"/>
        <v>620897.47364778956</v>
      </c>
    </row>
    <row r="242" spans="2:11" x14ac:dyDescent="0.2">
      <c r="B242" s="302" t="s">
        <v>290</v>
      </c>
    </row>
    <row r="243" spans="2:11" x14ac:dyDescent="0.2">
      <c r="B243" t="s">
        <v>287</v>
      </c>
      <c r="C243" s="198"/>
      <c r="D243" s="263">
        <f>D237/C237-1</f>
        <v>2.6275395033860045</v>
      </c>
      <c r="E243" s="264">
        <f t="shared" ref="E243:E245" si="153">E237/D237-1</f>
        <v>0.35314250155569393</v>
      </c>
      <c r="F243" s="265">
        <v>0.35310000000000002</v>
      </c>
      <c r="G243" s="263">
        <f>F243</f>
        <v>0.35310000000000002</v>
      </c>
      <c r="H243" s="263">
        <f t="shared" ref="H243:K245" si="154">G243</f>
        <v>0.35310000000000002</v>
      </c>
      <c r="I243" s="263">
        <f t="shared" si="154"/>
        <v>0.35310000000000002</v>
      </c>
      <c r="J243" s="263">
        <f t="shared" si="154"/>
        <v>0.35310000000000002</v>
      </c>
      <c r="K243" s="263">
        <f t="shared" si="154"/>
        <v>0.35310000000000002</v>
      </c>
    </row>
    <row r="244" spans="2:11" x14ac:dyDescent="0.2">
      <c r="B244" t="s">
        <v>288</v>
      </c>
      <c r="C244" s="198"/>
      <c r="D244" s="263">
        <f t="shared" ref="D244:D245" si="155">D238/C238-1</f>
        <v>0.49785123966942146</v>
      </c>
      <c r="E244" s="264">
        <f t="shared" si="153"/>
        <v>0.88567645111454429</v>
      </c>
      <c r="F244" s="265">
        <v>0.88570000000000004</v>
      </c>
      <c r="G244" s="263">
        <f>F244</f>
        <v>0.88570000000000004</v>
      </c>
      <c r="H244" s="263">
        <f t="shared" si="154"/>
        <v>0.88570000000000004</v>
      </c>
      <c r="I244" s="263">
        <f t="shared" si="154"/>
        <v>0.88570000000000004</v>
      </c>
      <c r="J244" s="263">
        <f t="shared" si="154"/>
        <v>0.88570000000000004</v>
      </c>
      <c r="K244" s="263">
        <f t="shared" si="154"/>
        <v>0.88570000000000004</v>
      </c>
    </row>
    <row r="245" spans="2:11" x14ac:dyDescent="0.2">
      <c r="B245" t="s">
        <v>289</v>
      </c>
      <c r="C245" s="198"/>
      <c r="D245" s="263">
        <f t="shared" si="155"/>
        <v>0.27443984586841719</v>
      </c>
      <c r="E245" s="264">
        <f t="shared" si="153"/>
        <v>0.57010078387457996</v>
      </c>
      <c r="F245" s="265">
        <v>0.57010000000000005</v>
      </c>
      <c r="G245" s="263">
        <f>F245</f>
        <v>0.57010000000000005</v>
      </c>
      <c r="H245" s="263">
        <f t="shared" si="154"/>
        <v>0.57010000000000005</v>
      </c>
      <c r="I245" s="263">
        <f t="shared" si="154"/>
        <v>0.57010000000000005</v>
      </c>
      <c r="J245" s="263">
        <f t="shared" si="154"/>
        <v>0.57010000000000005</v>
      </c>
      <c r="K245" s="263">
        <f t="shared" si="154"/>
        <v>0.57010000000000005</v>
      </c>
    </row>
    <row r="247" spans="2:11" ht="20" x14ac:dyDescent="0.25">
      <c r="B247" s="187" t="s">
        <v>126</v>
      </c>
      <c r="C247" s="187"/>
      <c r="D247" s="187"/>
      <c r="E247" s="187"/>
      <c r="F247" s="187"/>
      <c r="G247" s="187"/>
      <c r="H247" s="187"/>
      <c r="I247" s="187"/>
      <c r="J247" s="187"/>
      <c r="K247" s="187"/>
    </row>
    <row r="249" spans="2:11" x14ac:dyDescent="0.2">
      <c r="C249" s="314" t="s">
        <v>291</v>
      </c>
      <c r="D249" s="181"/>
      <c r="E249" s="181"/>
      <c r="F249" s="181"/>
      <c r="G249" s="181"/>
      <c r="H249" s="181"/>
      <c r="I249" s="181"/>
      <c r="J249" s="181"/>
    </row>
    <row r="250" spans="2:11" ht="16" thickBot="1" x14ac:dyDescent="0.25">
      <c r="C250" s="315"/>
      <c r="D250" s="315" t="s">
        <v>166</v>
      </c>
      <c r="E250" s="315"/>
      <c r="F250" s="315"/>
      <c r="G250" s="315"/>
      <c r="H250" s="315"/>
      <c r="I250" s="315"/>
      <c r="J250" s="315"/>
    </row>
    <row r="251" spans="2:11" ht="16" thickBot="1" x14ac:dyDescent="0.25">
      <c r="C251" s="316">
        <f ca="1">K226</f>
        <v>991.53747174107014</v>
      </c>
      <c r="D251" s="317">
        <v>0.67500000000000004</v>
      </c>
      <c r="E251" s="318">
        <v>0.68</v>
      </c>
      <c r="F251" s="318">
        <v>0.68500000000000005</v>
      </c>
      <c r="G251" s="318">
        <v>0.69</v>
      </c>
      <c r="H251" s="318">
        <v>0.69499999999999995</v>
      </c>
      <c r="I251" s="318">
        <v>0.7</v>
      </c>
      <c r="J251" s="319">
        <v>0.70499999999999996</v>
      </c>
    </row>
    <row r="252" spans="2:11" x14ac:dyDescent="0.2">
      <c r="B252" s="358" t="s">
        <v>292</v>
      </c>
      <c r="C252" s="320">
        <v>0.33500000000000002</v>
      </c>
      <c r="D252" s="321">
        <v>4769.592328551018</v>
      </c>
      <c r="E252" s="322">
        <v>4769.592328551018</v>
      </c>
      <c r="F252" s="322">
        <v>4769.592328551018</v>
      </c>
      <c r="G252" s="322">
        <v>4769.592328551018</v>
      </c>
      <c r="H252" s="322">
        <v>4769.592328551018</v>
      </c>
      <c r="I252" s="322">
        <v>4769.592328551018</v>
      </c>
      <c r="J252" s="323">
        <v>4769.592328551018</v>
      </c>
    </row>
    <row r="253" spans="2:11" x14ac:dyDescent="0.2">
      <c r="B253" s="359"/>
      <c r="C253" s="324">
        <v>0.34</v>
      </c>
      <c r="D253" s="325">
        <v>4769.592328551018</v>
      </c>
      <c r="E253" s="326">
        <v>4769.592328551018</v>
      </c>
      <c r="F253" s="326">
        <v>4769.592328551018</v>
      </c>
      <c r="G253" s="326">
        <v>4769.592328551018</v>
      </c>
      <c r="H253" s="326">
        <v>4769.592328551018</v>
      </c>
      <c r="I253" s="326">
        <v>4769.592328551018</v>
      </c>
      <c r="J253" s="327">
        <v>4769.592328551018</v>
      </c>
    </row>
    <row r="254" spans="2:11" x14ac:dyDescent="0.2">
      <c r="B254" s="359"/>
      <c r="C254" s="324">
        <v>0.34499999999999997</v>
      </c>
      <c r="D254" s="325">
        <v>4769.592328551018</v>
      </c>
      <c r="E254" s="326">
        <v>4769.592328551018</v>
      </c>
      <c r="F254" s="326">
        <v>4769.592328551018</v>
      </c>
      <c r="G254" s="326">
        <v>4769.592328551018</v>
      </c>
      <c r="H254" s="326">
        <v>4769.592328551018</v>
      </c>
      <c r="I254" s="326">
        <v>4769.592328551018</v>
      </c>
      <c r="J254" s="327">
        <v>4769.592328551018</v>
      </c>
    </row>
    <row r="255" spans="2:11" x14ac:dyDescent="0.2">
      <c r="B255" s="359"/>
      <c r="C255" s="324">
        <v>0.35</v>
      </c>
      <c r="D255" s="325">
        <v>4769.592328551018</v>
      </c>
      <c r="E255" s="326">
        <v>4769.592328551018</v>
      </c>
      <c r="F255" s="326">
        <v>4769.592328551018</v>
      </c>
      <c r="G255" s="326">
        <v>4769.592328551018</v>
      </c>
      <c r="H255" s="326">
        <v>4769.592328551018</v>
      </c>
      <c r="I255" s="326">
        <v>4769.592328551018</v>
      </c>
      <c r="J255" s="327">
        <v>4769.592328551018</v>
      </c>
    </row>
    <row r="256" spans="2:11" x14ac:dyDescent="0.2">
      <c r="B256" s="359"/>
      <c r="C256" s="324">
        <v>0.35499999999999998</v>
      </c>
      <c r="D256" s="325">
        <v>4769.592328551018</v>
      </c>
      <c r="E256" s="326">
        <v>4769.592328551018</v>
      </c>
      <c r="F256" s="326">
        <v>4769.592328551018</v>
      </c>
      <c r="G256" s="326">
        <v>4769.592328551018</v>
      </c>
      <c r="H256" s="326">
        <v>4769.592328551018</v>
      </c>
      <c r="I256" s="326">
        <v>4769.592328551018</v>
      </c>
      <c r="J256" s="327">
        <v>4769.592328551018</v>
      </c>
    </row>
    <row r="257" spans="2:13" x14ac:dyDescent="0.2">
      <c r="B257" s="359"/>
      <c r="C257" s="324">
        <v>0.36</v>
      </c>
      <c r="D257" s="325">
        <v>4769.592328551018</v>
      </c>
      <c r="E257" s="326">
        <v>4769.592328551018</v>
      </c>
      <c r="F257" s="326">
        <v>4769.592328551018</v>
      </c>
      <c r="G257" s="326">
        <v>4769.592328551018</v>
      </c>
      <c r="H257" s="326">
        <v>4769.592328551018</v>
      </c>
      <c r="I257" s="326">
        <v>4769.592328551018</v>
      </c>
      <c r="J257" s="327">
        <v>4769.592328551018</v>
      </c>
    </row>
    <row r="258" spans="2:13" ht="16" thickBot="1" x14ac:dyDescent="0.25">
      <c r="B258" s="359"/>
      <c r="C258" s="328">
        <v>0.36499999999999999</v>
      </c>
      <c r="D258" s="329">
        <v>4769.592328551018</v>
      </c>
      <c r="E258" s="330">
        <v>4769.592328551018</v>
      </c>
      <c r="F258" s="330">
        <v>4769.592328551018</v>
      </c>
      <c r="G258" s="330">
        <v>4769.592328551018</v>
      </c>
      <c r="H258" s="330">
        <v>4769.592328551018</v>
      </c>
      <c r="I258" s="330">
        <v>4769.592328551018</v>
      </c>
      <c r="J258" s="331">
        <v>4769.592328551018</v>
      </c>
    </row>
    <row r="260" spans="2:13" ht="20" x14ac:dyDescent="0.25">
      <c r="B260" s="187" t="s">
        <v>293</v>
      </c>
      <c r="C260" s="187"/>
      <c r="D260" s="187"/>
      <c r="E260" s="187"/>
      <c r="F260" s="187"/>
      <c r="G260" s="187"/>
      <c r="H260" s="187"/>
      <c r="I260" s="187"/>
      <c r="J260" s="187"/>
      <c r="K260" s="187"/>
    </row>
    <row r="261" spans="2:13" x14ac:dyDescent="0.2">
      <c r="C261" s="190">
        <f>EOMONTH(D261,-12)</f>
        <v>44196</v>
      </c>
      <c r="D261" s="190">
        <f>EOMONTH(E261,-12)</f>
        <v>44561</v>
      </c>
      <c r="E261" s="191">
        <v>44926</v>
      </c>
      <c r="F261" s="190">
        <f>EOMONTH(E261,12)</f>
        <v>45291</v>
      </c>
      <c r="G261" s="190">
        <f t="shared" ref="G261:K261" si="156">EOMONTH(F261,12)</f>
        <v>45657</v>
      </c>
      <c r="H261" s="190">
        <f t="shared" si="156"/>
        <v>46022</v>
      </c>
      <c r="I261" s="190">
        <f t="shared" si="156"/>
        <v>46387</v>
      </c>
      <c r="J261" s="190">
        <f t="shared" si="156"/>
        <v>46752</v>
      </c>
      <c r="K261" s="190">
        <f t="shared" si="156"/>
        <v>47118</v>
      </c>
      <c r="M261" s="183" t="s">
        <v>294</v>
      </c>
    </row>
    <row r="262" spans="2:13" x14ac:dyDescent="0.2">
      <c r="B262" s="249"/>
      <c r="C262" s="198"/>
      <c r="D262" s="198"/>
      <c r="E262" s="298"/>
      <c r="M262" s="183" t="s">
        <v>295</v>
      </c>
    </row>
    <row r="263" spans="2:13" x14ac:dyDescent="0.2">
      <c r="B263" s="249" t="s">
        <v>296</v>
      </c>
      <c r="C263" s="198"/>
      <c r="D263" s="198"/>
      <c r="E263" s="223"/>
      <c r="F263" s="195">
        <f t="array" ref="F263:K263">TRANSPOSE(F121/M263)</f>
        <v>475.875</v>
      </c>
      <c r="G263" s="195">
        <v>475.875</v>
      </c>
      <c r="H263" s="195">
        <v>475.875</v>
      </c>
      <c r="I263" s="195">
        <v>475.875</v>
      </c>
      <c r="J263" s="195">
        <v>475.875</v>
      </c>
      <c r="K263" s="195">
        <v>475.875</v>
      </c>
      <c r="M263" s="332">
        <v>8</v>
      </c>
    </row>
    <row r="264" spans="2:13" x14ac:dyDescent="0.2">
      <c r="B264" s="249"/>
      <c r="C264" s="198"/>
      <c r="D264" s="198"/>
      <c r="E264" s="223"/>
    </row>
    <row r="265" spans="2:13" x14ac:dyDescent="0.2">
      <c r="B265" s="289" t="s">
        <v>297</v>
      </c>
      <c r="C265" s="198"/>
      <c r="D265" s="198"/>
      <c r="E265" s="223"/>
    </row>
    <row r="266" spans="2:13" x14ac:dyDescent="0.2">
      <c r="B266" s="333">
        <v>2023</v>
      </c>
      <c r="C266" s="198"/>
      <c r="D266" s="198"/>
      <c r="E266" s="223"/>
      <c r="F266" s="195">
        <f t="array" ref="F266:K266">TRANSPOSE(F123/M263)</f>
        <v>306.42972265316399</v>
      </c>
      <c r="G266" s="195">
        <v>306.42972265316399</v>
      </c>
      <c r="H266" s="195">
        <v>306.42972265316399</v>
      </c>
      <c r="I266" s="195">
        <v>306.42972265316399</v>
      </c>
      <c r="J266" s="195">
        <v>306.42972265316399</v>
      </c>
      <c r="K266" s="195">
        <v>306.42972265316399</v>
      </c>
    </row>
    <row r="267" spans="2:13" x14ac:dyDescent="0.2">
      <c r="B267" s="333">
        <f>B266+1</f>
        <v>2024</v>
      </c>
      <c r="C267" s="198"/>
      <c r="D267" s="198"/>
      <c r="E267" s="223"/>
      <c r="F267" s="195"/>
      <c r="G267" s="195">
        <f t="array" ref="G267:K267">TRANSPOSE(G123/M263)</f>
        <v>400.8502664900534</v>
      </c>
      <c r="H267" s="195">
        <v>400.8502664900534</v>
      </c>
      <c r="I267" s="195">
        <v>400.8502664900534</v>
      </c>
      <c r="J267" s="195">
        <v>400.8502664900534</v>
      </c>
      <c r="K267" s="195">
        <v>400.8502664900534</v>
      </c>
    </row>
    <row r="268" spans="2:13" x14ac:dyDescent="0.2">
      <c r="B268" s="333">
        <f t="shared" ref="B268:B270" si="157">B267+1</f>
        <v>2025</v>
      </c>
      <c r="C268" s="198"/>
      <c r="D268" s="198"/>
      <c r="E268" s="223"/>
      <c r="F268" s="195"/>
      <c r="G268" s="195"/>
      <c r="H268" s="195">
        <f t="array" ref="H268:K268">TRANSPOSE(H123/M263)</f>
        <v>524.36472139164971</v>
      </c>
      <c r="I268" s="195">
        <v>524.36472139164971</v>
      </c>
      <c r="J268" s="195">
        <v>524.36472139164971</v>
      </c>
      <c r="K268" s="195">
        <v>524.36472139164971</v>
      </c>
    </row>
    <row r="269" spans="2:13" x14ac:dyDescent="0.2">
      <c r="B269" s="333">
        <f t="shared" si="157"/>
        <v>2026</v>
      </c>
      <c r="C269" s="198"/>
      <c r="D269" s="198"/>
      <c r="E269" s="223"/>
      <c r="F269" s="195"/>
      <c r="G269" s="195"/>
      <c r="H269" s="195"/>
      <c r="I269" s="195">
        <f t="array" ref="I269:K269">TRANSPOSE(I123/M263)</f>
        <v>685.93782772741451</v>
      </c>
      <c r="J269" s="195">
        <v>685.93782772741451</v>
      </c>
      <c r="K269" s="195">
        <v>685.93782772741451</v>
      </c>
    </row>
    <row r="270" spans="2:13" x14ac:dyDescent="0.2">
      <c r="B270" s="333">
        <f t="shared" si="157"/>
        <v>2027</v>
      </c>
      <c r="C270" s="198"/>
      <c r="D270" s="198"/>
      <c r="E270" s="223"/>
      <c r="F270" s="195"/>
      <c r="G270" s="195"/>
      <c r="H270" s="195"/>
      <c r="I270" s="195"/>
      <c r="J270" s="195">
        <f t="array" ref="J270:K270">TRANSPOSE(J123/M263)</f>
        <v>897.29664165560496</v>
      </c>
      <c r="K270" s="195">
        <v>897.29664165560496</v>
      </c>
    </row>
    <row r="271" spans="2:13" x14ac:dyDescent="0.2">
      <c r="B271" s="333">
        <v>2028</v>
      </c>
      <c r="C271" s="198"/>
      <c r="D271" s="198"/>
      <c r="E271" s="223"/>
      <c r="F271" s="195"/>
      <c r="G271" s="195"/>
      <c r="H271" s="195"/>
      <c r="I271" s="195"/>
      <c r="J271" s="195"/>
      <c r="K271" s="195">
        <f>K123/M263</f>
        <v>1173.781690672967</v>
      </c>
    </row>
    <row r="272" spans="2:13" x14ac:dyDescent="0.2">
      <c r="B272" s="249" t="s">
        <v>298</v>
      </c>
      <c r="C272" s="255"/>
      <c r="D272" s="255"/>
      <c r="E272" s="298"/>
      <c r="F272" s="280">
        <f>SUM(F266:F271)</f>
        <v>306.42972265316399</v>
      </c>
      <c r="G272" s="280">
        <f t="shared" ref="G272:K272" si="158">SUM(G266:G271)</f>
        <v>707.27998914321734</v>
      </c>
      <c r="H272" s="280">
        <f t="shared" si="158"/>
        <v>1231.644710534867</v>
      </c>
      <c r="I272" s="280">
        <f t="shared" si="158"/>
        <v>1917.5825382622816</v>
      </c>
      <c r="J272" s="280">
        <f t="shared" si="158"/>
        <v>2814.8791799178866</v>
      </c>
      <c r="K272" s="280">
        <f t="shared" si="158"/>
        <v>3988.6608705908538</v>
      </c>
    </row>
    <row r="273" spans="2:11" x14ac:dyDescent="0.2">
      <c r="B273" s="249"/>
      <c r="C273" s="198"/>
      <c r="D273" s="198"/>
      <c r="E273" s="223"/>
      <c r="F273" s="195"/>
      <c r="G273" s="195"/>
      <c r="H273" s="195"/>
      <c r="I273" s="195"/>
      <c r="J273" s="195"/>
      <c r="K273" s="195"/>
    </row>
    <row r="274" spans="2:11" x14ac:dyDescent="0.2">
      <c r="B274" s="249" t="s">
        <v>299</v>
      </c>
      <c r="C274" s="198"/>
      <c r="D274" s="198"/>
      <c r="E274" s="223"/>
      <c r="F274" s="195">
        <f>SUM(F272,F263)</f>
        <v>782.30472265316394</v>
      </c>
      <c r="G274" s="195">
        <f t="shared" ref="G274:J274" si="159">SUM(G272,G263)</f>
        <v>1183.1549891432173</v>
      </c>
      <c r="H274" s="195">
        <f t="shared" si="159"/>
        <v>1707.519710534867</v>
      </c>
      <c r="I274" s="195">
        <f t="shared" si="159"/>
        <v>2393.4575382622816</v>
      </c>
      <c r="J274" s="195">
        <f t="shared" si="159"/>
        <v>3290.7541799178866</v>
      </c>
      <c r="K274" s="195">
        <f>SUM(K272,K263)</f>
        <v>4464.5358705908538</v>
      </c>
    </row>
  </sheetData>
  <mergeCells count="1">
    <mergeCell ref="B252:B258"/>
  </mergeCells>
  <conditionalFormatting sqref="D252:J258">
    <cfRule type="colorScale" priority="1">
      <colorScale>
        <cfvo type="min"/>
        <cfvo type="max"/>
        <color rgb="FFFF7128"/>
        <color rgb="FFFFEF9C"/>
      </colorScale>
    </cfRule>
  </conditionalFormatting>
  <dataValidations count="2">
    <dataValidation type="list" allowBlank="1" showInputMessage="1" showErrorMessage="1" sqref="F45" xr:uid="{D21B172B-596E-4B32-A35E-8C2522FAB0D3}">
      <formula1>$F$46:$F$48</formula1>
    </dataValidation>
    <dataValidation type="list" allowBlank="1" showInputMessage="1" showErrorMessage="1" sqref="C10" xr:uid="{84CE7213-A726-4997-A893-0C9A17B0CD74}">
      <formula1>$B$46:$B$48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Button 4">
              <controlPr defaultSize="0" print="0" autoFill="0" autoPict="0" macro="[0]!break_circ">
                <anchor moveWithCells="1" sizeWithCells="1">
                  <from>
                    <xdr:col>2</xdr:col>
                    <xdr:colOff>0</xdr:colOff>
                    <xdr:row>9</xdr:row>
                    <xdr:rowOff>177800</xdr:rowOff>
                  </from>
                  <to>
                    <xdr:col>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</vt:lpstr>
      <vt:lpstr>P&amp;L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 Pakel</dc:creator>
  <cp:keywords/>
  <dc:description/>
  <cp:lastModifiedBy>Brando Pakel</cp:lastModifiedBy>
  <cp:revision/>
  <dcterms:created xsi:type="dcterms:W3CDTF">2015-06-05T18:17:20Z</dcterms:created>
  <dcterms:modified xsi:type="dcterms:W3CDTF">2025-05-20T01:10:35Z</dcterms:modified>
  <cp:category/>
  <cp:contentStatus/>
</cp:coreProperties>
</file>