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p/Downloads/"/>
    </mc:Choice>
  </mc:AlternateContent>
  <xr:revisionPtr revIDLastSave="0" documentId="8_{FB2C7973-8BE0-D94F-94EF-67347CC1E770}" xr6:coauthVersionLast="47" xr6:coauthVersionMax="47" xr10:uidLastSave="{00000000-0000-0000-0000-000000000000}"/>
  <bookViews>
    <workbookView xWindow="0" yWindow="760" windowWidth="29040" windowHeight="15840" xr2:uid="{902364A0-DC9F-433C-812E-0F26B0ED9DC3}"/>
  </bookViews>
  <sheets>
    <sheet name="LBO" sheetId="1" r:id="rId1"/>
    <sheet name="P&amp;L" sheetId="2" r:id="rId2"/>
  </sheets>
  <calcPr calcId="191028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1" i="1" l="1"/>
  <c r="G280" i="1"/>
  <c r="G228" i="1"/>
  <c r="E189" i="1"/>
  <c r="G160" i="1"/>
  <c r="G136" i="1"/>
  <c r="G99" i="1"/>
  <c r="G74" i="1"/>
  <c r="G53" i="1"/>
  <c r="P188" i="1"/>
  <c r="P192" i="1"/>
  <c r="P195" i="1"/>
  <c r="F344" i="1" l="1"/>
  <c r="F323" i="1"/>
  <c r="F340" i="1" s="1"/>
  <c r="G323" i="1"/>
  <c r="G340" i="1" s="1"/>
  <c r="H323" i="1"/>
  <c r="H340" i="1" s="1"/>
  <c r="I323" i="1"/>
  <c r="I340" i="1" s="1"/>
  <c r="J323" i="1"/>
  <c r="J340" i="1" s="1"/>
  <c r="K323" i="1"/>
  <c r="K340" i="1" s="1"/>
  <c r="L323" i="1"/>
  <c r="L340" i="1" s="1"/>
  <c r="E330" i="1"/>
  <c r="E331" i="1"/>
  <c r="E332" i="1"/>
  <c r="E333" i="1"/>
  <c r="E334" i="1" s="1"/>
  <c r="E335" i="1" s="1"/>
  <c r="E329" i="1"/>
  <c r="G327" i="1"/>
  <c r="H327" i="1" s="1"/>
  <c r="I327" i="1" s="1"/>
  <c r="J327" i="1" s="1"/>
  <c r="K327" i="1" s="1"/>
  <c r="L327" i="1" s="1"/>
  <c r="L344" i="1" s="1"/>
  <c r="H344" i="1" l="1"/>
  <c r="K344" i="1"/>
  <c r="G344" i="1"/>
  <c r="J344" i="1"/>
  <c r="I344" i="1"/>
  <c r="I294" i="1"/>
  <c r="J294" i="1"/>
  <c r="K294" i="1"/>
  <c r="L294" i="1"/>
  <c r="H294" i="1"/>
  <c r="D297" i="1"/>
  <c r="F297" i="1" s="1"/>
  <c r="F204" i="1"/>
  <c r="J197" i="1"/>
  <c r="I197" i="1"/>
  <c r="K197" i="1"/>
  <c r="L197" i="1"/>
  <c r="H197" i="1"/>
  <c r="I213" i="1"/>
  <c r="J213" i="1" s="1"/>
  <c r="K213" i="1" s="1"/>
  <c r="L213" i="1" s="1"/>
  <c r="H213" i="1"/>
  <c r="I210" i="1"/>
  <c r="J210" i="1" s="1"/>
  <c r="H210" i="1"/>
  <c r="I205" i="1"/>
  <c r="J205" i="1" s="1"/>
  <c r="K205" i="1" s="1"/>
  <c r="L205" i="1" s="1"/>
  <c r="H205" i="1"/>
  <c r="I199" i="1"/>
  <c r="J199" i="1" s="1"/>
  <c r="H199" i="1"/>
  <c r="E220" i="1"/>
  <c r="E214" i="1"/>
  <c r="F208" i="1"/>
  <c r="E208" i="1"/>
  <c r="E200" i="1"/>
  <c r="G213" i="1"/>
  <c r="G210" i="1"/>
  <c r="G207" i="1"/>
  <c r="G206" i="1"/>
  <c r="G205" i="1"/>
  <c r="G204" i="1"/>
  <c r="G208" i="1" s="1"/>
  <c r="G199" i="1"/>
  <c r="G197" i="1"/>
  <c r="G196" i="1"/>
  <c r="G193" i="1"/>
  <c r="G192" i="1"/>
  <c r="G191" i="1"/>
  <c r="G149" i="1"/>
  <c r="E345" i="1" l="1" a="1"/>
  <c r="E345" i="1" s="1"/>
  <c r="L297" i="1"/>
  <c r="I297" i="1"/>
  <c r="H297" i="1"/>
  <c r="J297" i="1"/>
  <c r="K297" i="1"/>
  <c r="H204" i="1"/>
  <c r="I204" i="1" s="1"/>
  <c r="K210" i="1"/>
  <c r="K199" i="1"/>
  <c r="J173" i="1"/>
  <c r="K173" i="1" s="1"/>
  <c r="L173" i="1" s="1"/>
  <c r="I173" i="1"/>
  <c r="H173" i="1"/>
  <c r="I102" i="1"/>
  <c r="J102" i="1"/>
  <c r="K102" i="1"/>
  <c r="L102" i="1"/>
  <c r="H102" i="1"/>
  <c r="H77" i="1"/>
  <c r="I77" i="1"/>
  <c r="J77" i="1"/>
  <c r="K77" i="1"/>
  <c r="L77" i="1"/>
  <c r="J204" i="1" l="1"/>
  <c r="L210" i="1"/>
  <c r="L199" i="1"/>
  <c r="K204" i="1" l="1"/>
  <c r="L204" i="1" l="1"/>
  <c r="H64" i="1" l="1"/>
  <c r="I64" i="1"/>
  <c r="J64" i="1"/>
  <c r="K64" i="1"/>
  <c r="L64" i="1"/>
  <c r="K41" i="1"/>
  <c r="F190" i="1" s="1"/>
  <c r="K47" i="1"/>
  <c r="E42" i="1"/>
  <c r="L20" i="1"/>
  <c r="M62" i="2"/>
  <c r="M61" i="2"/>
  <c r="M60" i="2"/>
  <c r="L32" i="1"/>
  <c r="D33" i="1"/>
  <c r="K43" i="1" s="1"/>
  <c r="D35" i="1"/>
  <c r="K45" i="1" s="1"/>
  <c r="D34" i="1"/>
  <c r="K44" i="1" s="1"/>
  <c r="D32" i="1"/>
  <c r="K42" i="1" s="1"/>
  <c r="D36" i="1"/>
  <c r="L36" i="1" s="1"/>
  <c r="E44" i="1" s="1"/>
  <c r="F194" i="1" l="1"/>
  <c r="G190" i="1"/>
  <c r="K46" i="1"/>
  <c r="J46" i="1" s="1"/>
  <c r="G116" i="1"/>
  <c r="J43" i="1"/>
  <c r="G108" i="1"/>
  <c r="J42" i="1"/>
  <c r="G122" i="1"/>
  <c r="J44" i="1"/>
  <c r="G127" i="1"/>
  <c r="H125" i="1" s="1"/>
  <c r="H168" i="1" s="1"/>
  <c r="J45" i="1"/>
  <c r="L35" i="1"/>
  <c r="L34" i="1"/>
  <c r="L33" i="1"/>
  <c r="D37" i="1"/>
  <c r="D38" i="1" s="1"/>
  <c r="G132" i="1" l="1"/>
  <c r="H130" i="1" s="1"/>
  <c r="H131" i="1" s="1"/>
  <c r="H184" i="1" s="1"/>
  <c r="F218" i="1"/>
  <c r="G218" i="1" s="1"/>
  <c r="G194" i="1"/>
  <c r="H93" i="1"/>
  <c r="H101" i="1" s="1"/>
  <c r="E43" i="1"/>
  <c r="F212" i="1" s="1"/>
  <c r="G212" i="1" s="1"/>
  <c r="G147" i="1"/>
  <c r="H106" i="1"/>
  <c r="H119" i="1"/>
  <c r="H120" i="1" s="1"/>
  <c r="H113" i="1"/>
  <c r="H114" i="1" s="1"/>
  <c r="F18" i="1"/>
  <c r="L10" i="1"/>
  <c r="L21" i="1"/>
  <c r="E219" i="1"/>
  <c r="E213" i="1"/>
  <c r="E211" i="1"/>
  <c r="E205" i="1"/>
  <c r="E207" i="1"/>
  <c r="E206" i="1"/>
  <c r="E199" i="1"/>
  <c r="E198" i="1"/>
  <c r="E197" i="1"/>
  <c r="E196" i="1"/>
  <c r="E193" i="1"/>
  <c r="E192" i="1"/>
  <c r="E191" i="1"/>
  <c r="E190" i="1"/>
  <c r="F70" i="1"/>
  <c r="G70" i="1"/>
  <c r="E70" i="1"/>
  <c r="G69" i="1"/>
  <c r="F69" i="1"/>
  <c r="E69" i="1"/>
  <c r="G67" i="1"/>
  <c r="F68" i="1"/>
  <c r="G68" i="1"/>
  <c r="F67" i="1"/>
  <c r="E68" i="1"/>
  <c r="E67" i="1"/>
  <c r="L18" i="1"/>
  <c r="L19" i="1" s="1"/>
  <c r="L22" i="1" s="1"/>
  <c r="E41" i="1" s="1"/>
  <c r="P194" i="1" s="1"/>
  <c r="P196" i="1" s="1"/>
  <c r="H132" i="1" l="1"/>
  <c r="I130" i="1" s="1"/>
  <c r="H88" i="1"/>
  <c r="H153" i="1" s="1"/>
  <c r="F211" i="1"/>
  <c r="G137" i="1"/>
  <c r="G148" i="1"/>
  <c r="G138" i="1" s="1"/>
  <c r="F198" i="1"/>
  <c r="E49" i="1"/>
  <c r="F41" i="1" s="1"/>
  <c r="K282" i="1"/>
  <c r="J282" i="1"/>
  <c r="L282" i="1"/>
  <c r="I282" i="1"/>
  <c r="H282" i="1"/>
  <c r="L17" i="1"/>
  <c r="G66" i="1"/>
  <c r="F66" i="1"/>
  <c r="E66" i="1"/>
  <c r="F65" i="1"/>
  <c r="G65" i="1"/>
  <c r="E65" i="1"/>
  <c r="G64" i="1"/>
  <c r="F64" i="1"/>
  <c r="E64" i="1"/>
  <c r="G63" i="1"/>
  <c r="F63" i="1"/>
  <c r="E63" i="1"/>
  <c r="G59" i="1"/>
  <c r="F59" i="1"/>
  <c r="G58" i="1"/>
  <c r="F58" i="1"/>
  <c r="E59" i="1"/>
  <c r="E58" i="1"/>
  <c r="G55" i="1"/>
  <c r="F55" i="1"/>
  <c r="E55" i="1"/>
  <c r="G54" i="1"/>
  <c r="F54" i="1"/>
  <c r="E54" i="1"/>
  <c r="H183" i="1" l="1"/>
  <c r="H89" i="1" s="1"/>
  <c r="H218" i="1"/>
  <c r="H285" i="1" s="1"/>
  <c r="G211" i="1"/>
  <c r="G214" i="1" s="1"/>
  <c r="G216" i="1" s="1"/>
  <c r="F214" i="1"/>
  <c r="F216" i="1" s="1"/>
  <c r="I131" i="1"/>
  <c r="I184" i="1" s="1"/>
  <c r="F43" i="1"/>
  <c r="F44" i="1"/>
  <c r="K48" i="1"/>
  <c r="F42" i="1"/>
  <c r="F200" i="1"/>
  <c r="F202" i="1" s="1"/>
  <c r="G198" i="1"/>
  <c r="B268" i="2"/>
  <c r="B269" i="2" s="1"/>
  <c r="B270" i="2" s="1"/>
  <c r="B267" i="2"/>
  <c r="E261" i="2"/>
  <c r="G245" i="2"/>
  <c r="E245" i="2"/>
  <c r="D245" i="2"/>
  <c r="J244" i="2"/>
  <c r="K244" i="2" s="1"/>
  <c r="H244" i="2"/>
  <c r="I244" i="2" s="1"/>
  <c r="G244" i="2"/>
  <c r="E244" i="2"/>
  <c r="D244" i="2"/>
  <c r="G243" i="2"/>
  <c r="H243" i="2" s="1"/>
  <c r="I243" i="2" s="1"/>
  <c r="J243" i="2" s="1"/>
  <c r="K243" i="2" s="1"/>
  <c r="E243" i="2"/>
  <c r="D243" i="2"/>
  <c r="F240" i="2"/>
  <c r="E240" i="2"/>
  <c r="D240" i="2"/>
  <c r="C240" i="2"/>
  <c r="F239" i="2"/>
  <c r="G238" i="2"/>
  <c r="H238" i="2" s="1"/>
  <c r="I238" i="2" s="1"/>
  <c r="F238" i="2"/>
  <c r="G237" i="2"/>
  <c r="F237" i="2"/>
  <c r="E236" i="2"/>
  <c r="F236" i="2" s="1"/>
  <c r="G236" i="2" s="1"/>
  <c r="H236" i="2" s="1"/>
  <c r="I236" i="2" s="1"/>
  <c r="J236" i="2" s="1"/>
  <c r="K236" i="2" s="1"/>
  <c r="E231" i="2"/>
  <c r="D231" i="2"/>
  <c r="C231" i="2"/>
  <c r="H225" i="2"/>
  <c r="G225" i="2"/>
  <c r="E221" i="2"/>
  <c r="F221" i="2" s="1"/>
  <c r="G221" i="2" s="1"/>
  <c r="H221" i="2" s="1"/>
  <c r="I221" i="2" s="1"/>
  <c r="J221" i="2" s="1"/>
  <c r="K221" i="2" s="1"/>
  <c r="C221" i="2"/>
  <c r="E219" i="2"/>
  <c r="D218" i="2"/>
  <c r="D219" i="2" s="1"/>
  <c r="D221" i="2" s="1"/>
  <c r="C218" i="2"/>
  <c r="C219" i="2" s="1"/>
  <c r="G217" i="2"/>
  <c r="H217" i="2" s="1"/>
  <c r="I217" i="2" s="1"/>
  <c r="J217" i="2" s="1"/>
  <c r="K217" i="2" s="1"/>
  <c r="F217" i="2"/>
  <c r="G216" i="2"/>
  <c r="H216" i="2" s="1"/>
  <c r="I216" i="2" s="1"/>
  <c r="J216" i="2" s="1"/>
  <c r="K216" i="2" s="1"/>
  <c r="F216" i="2"/>
  <c r="F215" i="2"/>
  <c r="E214" i="2"/>
  <c r="H208" i="2"/>
  <c r="I208" i="2" s="1"/>
  <c r="J208" i="2" s="1"/>
  <c r="K208" i="2" s="1"/>
  <c r="G208" i="2"/>
  <c r="I203" i="2"/>
  <c r="G203" i="2"/>
  <c r="H203" i="2" s="1"/>
  <c r="F196" i="2"/>
  <c r="K191" i="2"/>
  <c r="J191" i="2"/>
  <c r="I191" i="2"/>
  <c r="H191" i="2"/>
  <c r="G191" i="2"/>
  <c r="F191" i="2"/>
  <c r="F189" i="2"/>
  <c r="F184" i="2"/>
  <c r="F181" i="2"/>
  <c r="J179" i="2"/>
  <c r="K179" i="2" s="1"/>
  <c r="F179" i="2"/>
  <c r="G179" i="2" s="1"/>
  <c r="H179" i="2" s="1"/>
  <c r="I179" i="2" s="1"/>
  <c r="E179" i="2"/>
  <c r="D179" i="2"/>
  <c r="C179" i="2" s="1"/>
  <c r="G165" i="2"/>
  <c r="F161" i="2"/>
  <c r="G161" i="2" s="1"/>
  <c r="H161" i="2" s="1"/>
  <c r="I161" i="2" s="1"/>
  <c r="J161" i="2" s="1"/>
  <c r="K161" i="2" s="1"/>
  <c r="E161" i="2"/>
  <c r="D161" i="2"/>
  <c r="C161" i="2" s="1"/>
  <c r="F156" i="2"/>
  <c r="G151" i="2"/>
  <c r="F151" i="2"/>
  <c r="K150" i="2"/>
  <c r="J150" i="2"/>
  <c r="I150" i="2"/>
  <c r="H150" i="2"/>
  <c r="G150" i="2"/>
  <c r="F150" i="2"/>
  <c r="K149" i="2"/>
  <c r="J149" i="2"/>
  <c r="I149" i="2"/>
  <c r="H149" i="2"/>
  <c r="G149" i="2"/>
  <c r="F149" i="2"/>
  <c r="E138" i="2"/>
  <c r="F131" i="2"/>
  <c r="G131" i="2" s="1"/>
  <c r="G67" i="2" s="1"/>
  <c r="E131" i="2"/>
  <c r="E129" i="2"/>
  <c r="G127" i="2"/>
  <c r="H127" i="2" s="1"/>
  <c r="I127" i="2" s="1"/>
  <c r="J127" i="2" s="1"/>
  <c r="E127" i="2"/>
  <c r="F127" i="2" s="1"/>
  <c r="F126" i="2"/>
  <c r="F129" i="2" s="1"/>
  <c r="G126" i="2" s="1"/>
  <c r="G129" i="2" s="1"/>
  <c r="E126" i="2"/>
  <c r="E124" i="2"/>
  <c r="E122" i="2"/>
  <c r="F121" i="2"/>
  <c r="E121" i="2"/>
  <c r="E120" i="2"/>
  <c r="D117" i="2"/>
  <c r="G116" i="2"/>
  <c r="E116" i="2"/>
  <c r="F116" i="2" s="1"/>
  <c r="C116" i="2"/>
  <c r="E113" i="2"/>
  <c r="F113" i="2" s="1"/>
  <c r="G113" i="2" s="1"/>
  <c r="H113" i="2" s="1"/>
  <c r="I113" i="2" s="1"/>
  <c r="J113" i="2" s="1"/>
  <c r="K113" i="2" s="1"/>
  <c r="C113" i="2"/>
  <c r="F112" i="2"/>
  <c r="G112" i="2" s="1"/>
  <c r="H112" i="2" s="1"/>
  <c r="D106" i="2"/>
  <c r="E105" i="2"/>
  <c r="E117" i="2" s="1"/>
  <c r="F117" i="2" s="1"/>
  <c r="G117" i="2" s="1"/>
  <c r="H117" i="2" s="1"/>
  <c r="I117" i="2" s="1"/>
  <c r="J117" i="2" s="1"/>
  <c r="K117" i="2" s="1"/>
  <c r="D105" i="2"/>
  <c r="C105" i="2"/>
  <c r="E104" i="2"/>
  <c r="E106" i="2" s="1"/>
  <c r="D104" i="2"/>
  <c r="D116" i="2" s="1"/>
  <c r="C104" i="2"/>
  <c r="E102" i="2"/>
  <c r="E108" i="2" s="1"/>
  <c r="E109" i="2" s="1"/>
  <c r="E101" i="2"/>
  <c r="E114" i="2" s="1"/>
  <c r="F114" i="2" s="1"/>
  <c r="G114" i="2" s="1"/>
  <c r="H114" i="2" s="1"/>
  <c r="I114" i="2" s="1"/>
  <c r="J114" i="2" s="1"/>
  <c r="K114" i="2" s="1"/>
  <c r="D101" i="2"/>
  <c r="D114" i="2" s="1"/>
  <c r="C101" i="2"/>
  <c r="C114" i="2" s="1"/>
  <c r="E100" i="2"/>
  <c r="D100" i="2"/>
  <c r="D113" i="2" s="1"/>
  <c r="C100" i="2"/>
  <c r="C102" i="2" s="1"/>
  <c r="E99" i="2"/>
  <c r="E112" i="2" s="1"/>
  <c r="D99" i="2"/>
  <c r="D102" i="2" s="1"/>
  <c r="D108" i="2" s="1"/>
  <c r="C99" i="2"/>
  <c r="C112" i="2" s="1"/>
  <c r="E97" i="2"/>
  <c r="E82" i="2"/>
  <c r="C82" i="2"/>
  <c r="H81" i="2"/>
  <c r="I81" i="2" s="1"/>
  <c r="J81" i="2" s="1"/>
  <c r="K81" i="2" s="1"/>
  <c r="F81" i="2"/>
  <c r="G81" i="2" s="1"/>
  <c r="F80" i="2"/>
  <c r="G80" i="2" s="1"/>
  <c r="H80" i="2" s="1"/>
  <c r="I80" i="2" s="1"/>
  <c r="J80" i="2" s="1"/>
  <c r="K80" i="2" s="1"/>
  <c r="E77" i="2"/>
  <c r="D77" i="2"/>
  <c r="D82" i="2" s="1"/>
  <c r="C77" i="2"/>
  <c r="G76" i="2"/>
  <c r="H76" i="2" s="1"/>
  <c r="I76" i="2" s="1"/>
  <c r="J76" i="2" s="1"/>
  <c r="K76" i="2" s="1"/>
  <c r="F76" i="2"/>
  <c r="E71" i="2"/>
  <c r="C71" i="2"/>
  <c r="H70" i="2"/>
  <c r="I70" i="2" s="1"/>
  <c r="J70" i="2" s="1"/>
  <c r="K70" i="2" s="1"/>
  <c r="F70" i="2"/>
  <c r="G70" i="2" s="1"/>
  <c r="F69" i="2"/>
  <c r="G69" i="2" s="1"/>
  <c r="H69" i="2" s="1"/>
  <c r="I69" i="2" s="1"/>
  <c r="J69" i="2" s="1"/>
  <c r="K69" i="2" s="1"/>
  <c r="F67" i="2"/>
  <c r="E63" i="2"/>
  <c r="D63" i="2"/>
  <c r="D71" i="2" s="1"/>
  <c r="C63" i="2"/>
  <c r="I59" i="2"/>
  <c r="J59" i="2" s="1"/>
  <c r="K59" i="2" s="1"/>
  <c r="G59" i="2"/>
  <c r="H59" i="2" s="1"/>
  <c r="F59" i="2"/>
  <c r="E56" i="2"/>
  <c r="E49" i="2"/>
  <c r="F49" i="2" s="1"/>
  <c r="G49" i="2" s="1"/>
  <c r="H49" i="2" s="1"/>
  <c r="I49" i="2" s="1"/>
  <c r="J49" i="2" s="1"/>
  <c r="K49" i="2" s="1"/>
  <c r="H48" i="2"/>
  <c r="I48" i="2" s="1"/>
  <c r="J48" i="2" s="1"/>
  <c r="K48" i="2" s="1"/>
  <c r="G48" i="2"/>
  <c r="I46" i="2"/>
  <c r="J46" i="2" s="1"/>
  <c r="K46" i="2" s="1"/>
  <c r="G46" i="2"/>
  <c r="H46" i="2" s="1"/>
  <c r="E45" i="2"/>
  <c r="D45" i="2"/>
  <c r="I30" i="2"/>
  <c r="I141" i="2" s="1"/>
  <c r="H30" i="2"/>
  <c r="H141" i="2" s="1"/>
  <c r="G30" i="2"/>
  <c r="G141" i="2" s="1"/>
  <c r="F30" i="2"/>
  <c r="F141" i="2" s="1"/>
  <c r="D27" i="2"/>
  <c r="E24" i="2"/>
  <c r="C24" i="2"/>
  <c r="E23" i="2"/>
  <c r="E50" i="2" s="1"/>
  <c r="F50" i="2" s="1"/>
  <c r="G50" i="2" s="1"/>
  <c r="H50" i="2" s="1"/>
  <c r="I50" i="2" s="1"/>
  <c r="J50" i="2" s="1"/>
  <c r="K50" i="2" s="1"/>
  <c r="D23" i="2"/>
  <c r="C23" i="2"/>
  <c r="C50" i="2" s="1"/>
  <c r="E19" i="2"/>
  <c r="D19" i="2"/>
  <c r="C19" i="2"/>
  <c r="E18" i="2"/>
  <c r="E27" i="2" s="1"/>
  <c r="D18" i="2"/>
  <c r="D49" i="2" s="1"/>
  <c r="C18" i="2"/>
  <c r="C49" i="2" s="1"/>
  <c r="E16" i="2"/>
  <c r="D16" i="2"/>
  <c r="G14" i="2"/>
  <c r="H14" i="2" s="1"/>
  <c r="I14" i="2" s="1"/>
  <c r="J14" i="2" s="1"/>
  <c r="K14" i="2" s="1"/>
  <c r="E14" i="2"/>
  <c r="F14" i="2" s="1"/>
  <c r="B2" i="2"/>
  <c r="F49" i="1" l="1"/>
  <c r="I132" i="1"/>
  <c r="K49" i="1"/>
  <c r="L48" i="1" s="1"/>
  <c r="D296" i="1"/>
  <c r="F219" i="1"/>
  <c r="G200" i="1"/>
  <c r="G202" i="1" s="1"/>
  <c r="H198" i="1"/>
  <c r="I198" i="1" s="1"/>
  <c r="J198" i="1" s="1"/>
  <c r="K198" i="1" s="1"/>
  <c r="L198" i="1" s="1"/>
  <c r="D50" i="2"/>
  <c r="D24" i="2"/>
  <c r="K127" i="2"/>
  <c r="K30" i="2" s="1"/>
  <c r="K141" i="2" s="1"/>
  <c r="J30" i="2"/>
  <c r="J141" i="2" s="1"/>
  <c r="E51" i="2"/>
  <c r="F51" i="2" s="1"/>
  <c r="G51" i="2" s="1"/>
  <c r="H51" i="2" s="1"/>
  <c r="I51" i="2" s="1"/>
  <c r="J51" i="2" s="1"/>
  <c r="K51" i="2" s="1"/>
  <c r="E28" i="2"/>
  <c r="E31" i="2"/>
  <c r="E36" i="2" s="1"/>
  <c r="G68" i="2"/>
  <c r="H126" i="2"/>
  <c r="H129" i="2" s="1"/>
  <c r="D51" i="2"/>
  <c r="D28" i="2"/>
  <c r="D31" i="2"/>
  <c r="D36" i="2" s="1"/>
  <c r="I112" i="2"/>
  <c r="D14" i="2"/>
  <c r="C14" i="2" s="1"/>
  <c r="D56" i="2"/>
  <c r="C56" i="2" s="1"/>
  <c r="F56" i="2"/>
  <c r="G56" i="2" s="1"/>
  <c r="H56" i="2" s="1"/>
  <c r="I56" i="2" s="1"/>
  <c r="J56" i="2" s="1"/>
  <c r="K56" i="2" s="1"/>
  <c r="F68" i="2"/>
  <c r="D91" i="2"/>
  <c r="D92" i="2" s="1"/>
  <c r="D94" i="2" s="1"/>
  <c r="E123" i="2"/>
  <c r="E134" i="2" s="1"/>
  <c r="F134" i="2" s="1"/>
  <c r="G134" i="2" s="1"/>
  <c r="H134" i="2" s="1"/>
  <c r="I134" i="2" s="1"/>
  <c r="J134" i="2" s="1"/>
  <c r="K134" i="2" s="1"/>
  <c r="E128" i="2"/>
  <c r="F138" i="2"/>
  <c r="G138" i="2" s="1"/>
  <c r="H138" i="2" s="1"/>
  <c r="I138" i="2" s="1"/>
  <c r="J138" i="2" s="1"/>
  <c r="K138" i="2" s="1"/>
  <c r="D138" i="2"/>
  <c r="C138" i="2" s="1"/>
  <c r="J203" i="2"/>
  <c r="G240" i="2"/>
  <c r="C117" i="2"/>
  <c r="C106" i="2"/>
  <c r="C108" i="2" s="1"/>
  <c r="D109" i="2" s="1"/>
  <c r="C91" i="2"/>
  <c r="C92" i="2" s="1"/>
  <c r="C94" i="2"/>
  <c r="H116" i="2"/>
  <c r="F120" i="2"/>
  <c r="G120" i="2" s="1"/>
  <c r="H120" i="2" s="1"/>
  <c r="I120" i="2" s="1"/>
  <c r="J120" i="2" s="1"/>
  <c r="K120" i="2" s="1"/>
  <c r="D120" i="2"/>
  <c r="C120" i="2" s="1"/>
  <c r="E135" i="2"/>
  <c r="F135" i="2" s="1"/>
  <c r="G135" i="2" s="1"/>
  <c r="H135" i="2" s="1"/>
  <c r="I135" i="2" s="1"/>
  <c r="J135" i="2" s="1"/>
  <c r="K135" i="2" s="1"/>
  <c r="F192" i="2"/>
  <c r="F79" i="2" s="1"/>
  <c r="G189" i="2" s="1"/>
  <c r="F47" i="2"/>
  <c r="C27" i="2"/>
  <c r="E91" i="2"/>
  <c r="D97" i="2"/>
  <c r="C97" i="2" s="1"/>
  <c r="F97" i="2"/>
  <c r="G97" i="2" s="1"/>
  <c r="H97" i="2" s="1"/>
  <c r="I97" i="2" s="1"/>
  <c r="J97" i="2" s="1"/>
  <c r="K97" i="2" s="1"/>
  <c r="D112" i="2"/>
  <c r="F263" i="2" a="1"/>
  <c r="H131" i="2"/>
  <c r="F214" i="2"/>
  <c r="G214" i="2" s="1"/>
  <c r="H214" i="2" s="1"/>
  <c r="I214" i="2" s="1"/>
  <c r="J214" i="2" s="1"/>
  <c r="K214" i="2" s="1"/>
  <c r="D214" i="2"/>
  <c r="C214" i="2" s="1"/>
  <c r="D261" i="2"/>
  <c r="C261" i="2" s="1"/>
  <c r="F261" i="2"/>
  <c r="G261" i="2" s="1"/>
  <c r="H261" i="2" s="1"/>
  <c r="I261" i="2" s="1"/>
  <c r="J261" i="2" s="1"/>
  <c r="K261" i="2" s="1"/>
  <c r="G181" i="2"/>
  <c r="H165" i="2"/>
  <c r="I225" i="2"/>
  <c r="J238" i="2"/>
  <c r="K238" i="2" s="1"/>
  <c r="G239" i="2"/>
  <c r="H245" i="2"/>
  <c r="I245" i="2" s="1"/>
  <c r="J245" i="2" s="1"/>
  <c r="K245" i="2" s="1"/>
  <c r="D236" i="2"/>
  <c r="C236" i="2" s="1"/>
  <c r="H237" i="2"/>
  <c r="J130" i="1" l="1"/>
  <c r="I218" i="1"/>
  <c r="I285" i="1" s="1"/>
  <c r="I183" i="1"/>
  <c r="I89" i="1" s="1"/>
  <c r="F220" i="1"/>
  <c r="F222" i="1" s="1"/>
  <c r="F224" i="1" s="1"/>
  <c r="G219" i="1"/>
  <c r="G220" i="1" s="1"/>
  <c r="G222" i="1" s="1"/>
  <c r="G224" i="1" s="1"/>
  <c r="D300" i="1"/>
  <c r="F296" i="1"/>
  <c r="L45" i="1"/>
  <c r="L47" i="1"/>
  <c r="L42" i="1"/>
  <c r="L44" i="1"/>
  <c r="L46" i="1"/>
  <c r="L41" i="1"/>
  <c r="L43" i="1"/>
  <c r="I237" i="2"/>
  <c r="H151" i="2"/>
  <c r="H181" i="2"/>
  <c r="I165" i="2"/>
  <c r="J225" i="2"/>
  <c r="G47" i="2"/>
  <c r="H47" i="2" s="1"/>
  <c r="I47" i="2" s="1"/>
  <c r="J47" i="2" s="1"/>
  <c r="K47" i="2" s="1"/>
  <c r="F15" i="2"/>
  <c r="G15" i="2" s="1"/>
  <c r="J112" i="2"/>
  <c r="C31" i="2"/>
  <c r="C36" i="2" s="1"/>
  <c r="C51" i="2"/>
  <c r="C28" i="2"/>
  <c r="I263" i="2"/>
  <c r="H263" i="2"/>
  <c r="K263" i="2"/>
  <c r="G263" i="2"/>
  <c r="F263" i="2"/>
  <c r="J263" i="2"/>
  <c r="F163" i="2"/>
  <c r="E92" i="2"/>
  <c r="E94" i="2" s="1"/>
  <c r="G192" i="2"/>
  <c r="G79" i="2" s="1"/>
  <c r="H189" i="2" s="1"/>
  <c r="I116" i="2"/>
  <c r="K203" i="2"/>
  <c r="I126" i="2"/>
  <c r="I129" i="2" s="1"/>
  <c r="H68" i="2"/>
  <c r="I131" i="2"/>
  <c r="H67" i="2"/>
  <c r="E52" i="2"/>
  <c r="F52" i="2" s="1"/>
  <c r="G52" i="2" s="1"/>
  <c r="H52" i="2" s="1"/>
  <c r="I52" i="2" s="1"/>
  <c r="J52" i="2" s="1"/>
  <c r="K52" i="2" s="1"/>
  <c r="E39" i="2"/>
  <c r="E38" i="2"/>
  <c r="H239" i="2"/>
  <c r="I239" i="2" s="1"/>
  <c r="J239" i="2" s="1"/>
  <c r="K239" i="2" s="1"/>
  <c r="F204" i="2"/>
  <c r="D38" i="2"/>
  <c r="D39" i="2"/>
  <c r="D52" i="2"/>
  <c r="H54" i="1" l="1"/>
  <c r="I54" i="1"/>
  <c r="J131" i="1"/>
  <c r="J184" i="1" s="1"/>
  <c r="L49" i="1"/>
  <c r="E298" i="1"/>
  <c r="E297" i="1"/>
  <c r="E299" i="1"/>
  <c r="F298" i="1"/>
  <c r="F299" i="1"/>
  <c r="I296" i="1"/>
  <c r="J296" i="1"/>
  <c r="H296" i="1"/>
  <c r="G312" i="1" s="1"/>
  <c r="G314" i="1" s="1"/>
  <c r="L296" i="1"/>
  <c r="K296" i="1"/>
  <c r="E296" i="1"/>
  <c r="D230" i="2"/>
  <c r="D171" i="2"/>
  <c r="I67" i="2"/>
  <c r="J131" i="2"/>
  <c r="H192" i="2"/>
  <c r="H79" i="2" s="1"/>
  <c r="I189" i="2" s="1"/>
  <c r="H204" i="2"/>
  <c r="K112" i="2"/>
  <c r="K225" i="2"/>
  <c r="E171" i="2"/>
  <c r="F171" i="2" s="1"/>
  <c r="G171" i="2" s="1"/>
  <c r="H171" i="2" s="1"/>
  <c r="I171" i="2" s="1"/>
  <c r="J171" i="2" s="1"/>
  <c r="K171" i="2" s="1"/>
  <c r="E230" i="2"/>
  <c r="F23" i="2"/>
  <c r="F123" i="2"/>
  <c r="F101" i="2"/>
  <c r="F62" i="2" s="1"/>
  <c r="H193" i="1" s="1"/>
  <c r="F17" i="2"/>
  <c r="H55" i="1" s="1"/>
  <c r="F99" i="2"/>
  <c r="I181" i="2"/>
  <c r="J165" i="2"/>
  <c r="I151" i="2"/>
  <c r="I240" i="2"/>
  <c r="J237" i="2"/>
  <c r="I68" i="2"/>
  <c r="J126" i="2"/>
  <c r="J129" i="2" s="1"/>
  <c r="J116" i="2"/>
  <c r="G204" i="2"/>
  <c r="C52" i="2"/>
  <c r="C38" i="2"/>
  <c r="C39" i="2"/>
  <c r="H240" i="2"/>
  <c r="H56" i="1" l="1"/>
  <c r="F300" i="1"/>
  <c r="G297" i="1" s="1"/>
  <c r="J132" i="1"/>
  <c r="J183" i="1" s="1"/>
  <c r="J89" i="1" s="1"/>
  <c r="E300" i="1"/>
  <c r="K116" i="2"/>
  <c r="E233" i="2"/>
  <c r="E41" i="2" s="1"/>
  <c r="E232" i="2"/>
  <c r="E42" i="2" s="1"/>
  <c r="K131" i="2"/>
  <c r="K67" i="2" s="1"/>
  <c r="J67" i="2"/>
  <c r="C171" i="2"/>
  <c r="C230" i="2"/>
  <c r="K126" i="2"/>
  <c r="K129" i="2" s="1"/>
  <c r="K68" i="2" s="1"/>
  <c r="J68" i="2"/>
  <c r="F60" i="2"/>
  <c r="H191" i="1" s="1"/>
  <c r="F266" i="2" a="1"/>
  <c r="F145" i="2"/>
  <c r="F105" i="2"/>
  <c r="F75" i="2" s="1"/>
  <c r="H207" i="1" s="1"/>
  <c r="F100" i="2"/>
  <c r="F61" i="2" s="1"/>
  <c r="H192" i="1" s="1"/>
  <c r="F104" i="2"/>
  <c r="F18" i="2"/>
  <c r="F27" i="2" s="1"/>
  <c r="J240" i="2"/>
  <c r="K237" i="2"/>
  <c r="K240" i="2" s="1"/>
  <c r="J181" i="2"/>
  <c r="K165" i="2"/>
  <c r="J151" i="2"/>
  <c r="G123" i="2"/>
  <c r="G101" i="2"/>
  <c r="G62" i="2" s="1"/>
  <c r="I193" i="1" s="1"/>
  <c r="G23" i="2"/>
  <c r="H15" i="2"/>
  <c r="J54" i="1" s="1"/>
  <c r="G17" i="2"/>
  <c r="G99" i="2"/>
  <c r="F21" i="2"/>
  <c r="H58" i="1" s="1"/>
  <c r="F22" i="2"/>
  <c r="H59" i="1" s="1"/>
  <c r="I192" i="2"/>
  <c r="I79" i="2" s="1"/>
  <c r="J189" i="2" s="1"/>
  <c r="D232" i="2"/>
  <c r="D42" i="2" s="1"/>
  <c r="D233" i="2"/>
  <c r="D41" i="2" s="1"/>
  <c r="G296" i="1" l="1"/>
  <c r="G300" i="1" s="1"/>
  <c r="J218" i="1"/>
  <c r="J285" i="1" s="1"/>
  <c r="K130" i="1"/>
  <c r="K131" i="1" s="1"/>
  <c r="K184" i="1" s="1"/>
  <c r="H60" i="1"/>
  <c r="H62" i="1" s="1"/>
  <c r="F146" i="2"/>
  <c r="H83" i="1"/>
  <c r="G18" i="2"/>
  <c r="G27" i="2" s="1"/>
  <c r="I55" i="1"/>
  <c r="I56" i="1" s="1"/>
  <c r="F102" i="2"/>
  <c r="J192" i="2"/>
  <c r="J79" i="2" s="1"/>
  <c r="K189" i="2" s="1"/>
  <c r="J204" i="2"/>
  <c r="G22" i="2"/>
  <c r="I59" i="1" s="1"/>
  <c r="G21" i="2"/>
  <c r="I58" i="1" s="1"/>
  <c r="K181" i="2"/>
  <c r="K151" i="2"/>
  <c r="C233" i="2"/>
  <c r="C41" i="2" s="1"/>
  <c r="C232" i="2"/>
  <c r="C42" i="2" s="1"/>
  <c r="G105" i="2"/>
  <c r="G75" i="2" s="1"/>
  <c r="I207" i="1" s="1"/>
  <c r="G100" i="2"/>
  <c r="G61" i="2" s="1"/>
  <c r="I192" i="1" s="1"/>
  <c r="G104" i="2"/>
  <c r="H123" i="2"/>
  <c r="H101" i="2"/>
  <c r="H62" i="2" s="1"/>
  <c r="J193" i="1" s="1"/>
  <c r="H17" i="2"/>
  <c r="H23" i="2"/>
  <c r="I15" i="2"/>
  <c r="K54" i="1" s="1"/>
  <c r="H99" i="2"/>
  <c r="G267" i="2" a="1"/>
  <c r="G145" i="2"/>
  <c r="F74" i="2"/>
  <c r="H206" i="1" s="1"/>
  <c r="H208" i="1" s="1"/>
  <c r="F106" i="2"/>
  <c r="G60" i="2"/>
  <c r="I191" i="1" s="1"/>
  <c r="I204" i="2"/>
  <c r="J266" i="2"/>
  <c r="F266" i="2"/>
  <c r="F272" i="2" s="1"/>
  <c r="F274" i="2" s="1"/>
  <c r="F122" i="2" s="1"/>
  <c r="I266" i="2"/>
  <c r="H266" i="2"/>
  <c r="K266" i="2"/>
  <c r="G266" i="2"/>
  <c r="I60" i="1" l="1"/>
  <c r="I62" i="1" s="1"/>
  <c r="K132" i="1"/>
  <c r="L130" i="1" s="1"/>
  <c r="L131" i="1" s="1"/>
  <c r="F108" i="2"/>
  <c r="F109" i="2" s="1"/>
  <c r="F142" i="2" s="1"/>
  <c r="H78" i="1" s="1"/>
  <c r="H155" i="1" s="1"/>
  <c r="G146" i="2"/>
  <c r="I83" i="1"/>
  <c r="H281" i="1"/>
  <c r="H283" i="1" s="1"/>
  <c r="H149" i="1"/>
  <c r="H260" i="1"/>
  <c r="H152" i="1"/>
  <c r="H84" i="1"/>
  <c r="H18" i="2"/>
  <c r="H27" i="2" s="1"/>
  <c r="J55" i="1"/>
  <c r="J56" i="1" s="1"/>
  <c r="F29" i="2"/>
  <c r="H63" i="1" s="1"/>
  <c r="H76" i="1" s="1"/>
  <c r="F124" i="2"/>
  <c r="F77" i="2"/>
  <c r="F82" i="2" s="1"/>
  <c r="G102" i="2"/>
  <c r="I123" i="2"/>
  <c r="I101" i="2"/>
  <c r="I62" i="2" s="1"/>
  <c r="K193" i="1" s="1"/>
  <c r="I23" i="2"/>
  <c r="J15" i="2"/>
  <c r="L54" i="1" s="1"/>
  <c r="I17" i="2"/>
  <c r="K55" i="1" s="1"/>
  <c r="K56" i="1" s="1"/>
  <c r="I99" i="2"/>
  <c r="H268" i="2" a="1"/>
  <c r="H145" i="2"/>
  <c r="K267" i="2"/>
  <c r="G267" i="2"/>
  <c r="G272" i="2" s="1"/>
  <c r="G274" i="2" s="1"/>
  <c r="G122" i="2" s="1"/>
  <c r="G29" i="2" s="1"/>
  <c r="J267" i="2"/>
  <c r="I267" i="2"/>
  <c r="H267" i="2"/>
  <c r="H22" i="2"/>
  <c r="J59" i="1" s="1"/>
  <c r="H21" i="2"/>
  <c r="J58" i="1" s="1"/>
  <c r="H60" i="2"/>
  <c r="J191" i="1" s="1"/>
  <c r="H105" i="2"/>
  <c r="H75" i="2" s="1"/>
  <c r="J207" i="1" s="1"/>
  <c r="H100" i="2"/>
  <c r="H61" i="2" s="1"/>
  <c r="J192" i="1" s="1"/>
  <c r="H104" i="2"/>
  <c r="G106" i="2"/>
  <c r="G74" i="2"/>
  <c r="I206" i="1" s="1"/>
  <c r="I208" i="1" s="1"/>
  <c r="K192" i="2"/>
  <c r="K79" i="2" s="1"/>
  <c r="K218" i="1" l="1"/>
  <c r="K285" i="1" s="1"/>
  <c r="K183" i="1"/>
  <c r="K89" i="1" s="1"/>
  <c r="L132" i="1"/>
  <c r="L184" i="1"/>
  <c r="H196" i="1"/>
  <c r="H200" i="1" s="1"/>
  <c r="I260" i="1"/>
  <c r="I152" i="1"/>
  <c r="I84" i="1"/>
  <c r="J60" i="1"/>
  <c r="J62" i="1" s="1"/>
  <c r="G140" i="2"/>
  <c r="I63" i="1"/>
  <c r="I76" i="1" s="1"/>
  <c r="H65" i="1"/>
  <c r="I281" i="1"/>
  <c r="I283" i="1" s="1"/>
  <c r="I149" i="1"/>
  <c r="H146" i="2"/>
  <c r="J83" i="1"/>
  <c r="I105" i="2"/>
  <c r="I75" i="2" s="1"/>
  <c r="K207" i="1" s="1"/>
  <c r="I100" i="2"/>
  <c r="I61" i="2" s="1"/>
  <c r="K192" i="1" s="1"/>
  <c r="I104" i="2"/>
  <c r="G77" i="2"/>
  <c r="G82" i="2" s="1"/>
  <c r="K15" i="2"/>
  <c r="J123" i="2"/>
  <c r="J23" i="2"/>
  <c r="J101" i="2"/>
  <c r="J62" i="2" s="1"/>
  <c r="L193" i="1" s="1"/>
  <c r="J17" i="2"/>
  <c r="J99" i="2"/>
  <c r="I269" i="2" a="1"/>
  <c r="I145" i="2"/>
  <c r="I18" i="2"/>
  <c r="I27" i="2" s="1"/>
  <c r="G108" i="2"/>
  <c r="G109" i="2" s="1"/>
  <c r="G142" i="2" s="1"/>
  <c r="I78" i="1" s="1"/>
  <c r="I155" i="1" s="1"/>
  <c r="G121" i="2"/>
  <c r="G124" i="2" s="1"/>
  <c r="F65" i="2"/>
  <c r="I268" i="2"/>
  <c r="H268" i="2"/>
  <c r="H272" i="2" s="1"/>
  <c r="H274" i="2" s="1"/>
  <c r="H122" i="2" s="1"/>
  <c r="H29" i="2" s="1"/>
  <c r="J63" i="1" s="1"/>
  <c r="J76" i="1" s="1"/>
  <c r="K268" i="2"/>
  <c r="J268" i="2"/>
  <c r="K204" i="2"/>
  <c r="H74" i="2"/>
  <c r="J206" i="1" s="1"/>
  <c r="J208" i="1" s="1"/>
  <c r="H106" i="2"/>
  <c r="H102" i="2"/>
  <c r="G31" i="2"/>
  <c r="I60" i="2"/>
  <c r="K191" i="1" s="1"/>
  <c r="I102" i="2"/>
  <c r="I21" i="2"/>
  <c r="K58" i="1" s="1"/>
  <c r="I22" i="2"/>
  <c r="K59" i="1" s="1"/>
  <c r="F140" i="2"/>
  <c r="F31" i="2"/>
  <c r="L218" i="1" l="1"/>
  <c r="L285" i="1" s="1"/>
  <c r="L183" i="1"/>
  <c r="L89" i="1" s="1"/>
  <c r="K60" i="1"/>
  <c r="K62" i="1" s="1"/>
  <c r="K149" i="1" s="1"/>
  <c r="J281" i="1"/>
  <c r="J283" i="1" s="1"/>
  <c r="J149" i="1"/>
  <c r="J65" i="1"/>
  <c r="I146" i="2"/>
  <c r="K83" i="1"/>
  <c r="J152" i="1"/>
  <c r="J260" i="1"/>
  <c r="J84" i="1"/>
  <c r="I196" i="1"/>
  <c r="J18" i="2"/>
  <c r="J27" i="2" s="1"/>
  <c r="L55" i="1"/>
  <c r="L56" i="1" s="1"/>
  <c r="I65" i="1"/>
  <c r="H108" i="2"/>
  <c r="H109" i="2" s="1"/>
  <c r="H142" i="2" s="1"/>
  <c r="J78" i="1" s="1"/>
  <c r="J155" i="1" s="1"/>
  <c r="J145" i="2"/>
  <c r="J270" i="2" a="1"/>
  <c r="K123" i="2"/>
  <c r="K101" i="2"/>
  <c r="K62" i="2" s="1"/>
  <c r="K23" i="2"/>
  <c r="K17" i="2"/>
  <c r="K18" i="2" s="1"/>
  <c r="K27" i="2" s="1"/>
  <c r="K99" i="2"/>
  <c r="K269" i="2"/>
  <c r="J269" i="2"/>
  <c r="I269" i="2"/>
  <c r="I272" i="2" s="1"/>
  <c r="I274" i="2" s="1"/>
  <c r="I122" i="2" s="1"/>
  <c r="I29" i="2" s="1"/>
  <c r="K63" i="1" s="1"/>
  <c r="K76" i="1" s="1"/>
  <c r="J105" i="2"/>
  <c r="J75" i="2" s="1"/>
  <c r="L207" i="1" s="1"/>
  <c r="J100" i="2"/>
  <c r="J61" i="2" s="1"/>
  <c r="L192" i="1" s="1"/>
  <c r="J104" i="2"/>
  <c r="I106" i="2"/>
  <c r="I108" i="2" s="1"/>
  <c r="I74" i="2"/>
  <c r="K206" i="1" s="1"/>
  <c r="K208" i="1" s="1"/>
  <c r="G65" i="2"/>
  <c r="H121" i="2"/>
  <c r="H124" i="2" s="1"/>
  <c r="H77" i="2"/>
  <c r="H82" i="2" s="1"/>
  <c r="H140" i="2"/>
  <c r="H31" i="2"/>
  <c r="J60" i="2"/>
  <c r="L191" i="1" s="1"/>
  <c r="J21" i="2"/>
  <c r="L58" i="1" s="1"/>
  <c r="J22" i="2"/>
  <c r="L59" i="1" s="1"/>
  <c r="I109" i="2" l="1"/>
  <c r="I142" i="2" s="1"/>
  <c r="K78" i="1" s="1"/>
  <c r="K155" i="1" s="1"/>
  <c r="K281" i="1"/>
  <c r="K283" i="1" s="1"/>
  <c r="J146" i="2"/>
  <c r="L83" i="1"/>
  <c r="J196" i="1"/>
  <c r="I200" i="1"/>
  <c r="L60" i="1"/>
  <c r="L62" i="1" s="1"/>
  <c r="K152" i="1"/>
  <c r="K260" i="1"/>
  <c r="K84" i="1"/>
  <c r="K65" i="1"/>
  <c r="J102" i="2"/>
  <c r="I140" i="2"/>
  <c r="I31" i="2"/>
  <c r="J74" i="2"/>
  <c r="L206" i="1" s="1"/>
  <c r="L208" i="1" s="1"/>
  <c r="J106" i="2"/>
  <c r="K60" i="2"/>
  <c r="K100" i="2"/>
  <c r="K61" i="2" s="1"/>
  <c r="K105" i="2"/>
  <c r="K75" i="2" s="1"/>
  <c r="K104" i="2"/>
  <c r="K271" i="2"/>
  <c r="K145" i="2"/>
  <c r="K146" i="2" s="1"/>
  <c r="I121" i="2"/>
  <c r="I124" i="2" s="1"/>
  <c r="H65" i="2"/>
  <c r="I77" i="2"/>
  <c r="I82" i="2" s="1"/>
  <c r="K270" i="2"/>
  <c r="J270" i="2"/>
  <c r="J272" i="2" s="1"/>
  <c r="J274" i="2" s="1"/>
  <c r="J122" i="2" s="1"/>
  <c r="J29" i="2" s="1"/>
  <c r="L63" i="1" s="1"/>
  <c r="L76" i="1" s="1"/>
  <c r="K22" i="2"/>
  <c r="K21" i="2"/>
  <c r="J108" i="2" l="1"/>
  <c r="J109" i="2" s="1"/>
  <c r="J142" i="2" s="1"/>
  <c r="L78" i="1" s="1"/>
  <c r="L155" i="1" s="1"/>
  <c r="L149" i="1"/>
  <c r="L281" i="1"/>
  <c r="L283" i="1" s="1"/>
  <c r="L65" i="1"/>
  <c r="K196" i="1"/>
  <c r="J200" i="1"/>
  <c r="L260" i="1"/>
  <c r="L152" i="1"/>
  <c r="L84" i="1"/>
  <c r="K272" i="2"/>
  <c r="K274" i="2" s="1"/>
  <c r="K122" i="2" s="1"/>
  <c r="K29" i="2" s="1"/>
  <c r="K140" i="2" s="1"/>
  <c r="K102" i="2"/>
  <c r="J140" i="2"/>
  <c r="J31" i="2"/>
  <c r="J77" i="2"/>
  <c r="J82" i="2" s="1"/>
  <c r="K106" i="2"/>
  <c r="K74" i="2"/>
  <c r="I65" i="2"/>
  <c r="J121" i="2"/>
  <c r="J124" i="2" s="1"/>
  <c r="K31" i="2" l="1"/>
  <c r="L196" i="1"/>
  <c r="L200" i="1" s="1"/>
  <c r="K200" i="1"/>
  <c r="K121" i="2"/>
  <c r="K124" i="2" s="1"/>
  <c r="K65" i="2" s="1"/>
  <c r="J65" i="2"/>
  <c r="K77" i="2"/>
  <c r="K82" i="2" s="1"/>
  <c r="K108" i="2"/>
  <c r="K109" i="2" s="1"/>
  <c r="K142" i="2" s="1"/>
  <c r="U322" i="1" l="1"/>
  <c r="T322" i="1"/>
  <c r="S322" i="1"/>
  <c r="R322" i="1"/>
  <c r="Q322" i="1"/>
  <c r="P322" i="1"/>
  <c r="O322" i="1"/>
  <c r="H311" i="1"/>
  <c r="H280" i="1"/>
  <c r="I280" i="1" s="1"/>
  <c r="J280" i="1" s="1"/>
  <c r="K280" i="1" s="1"/>
  <c r="L280" i="1" s="1"/>
  <c r="F237" i="1"/>
  <c r="H228" i="1"/>
  <c r="E194" i="1"/>
  <c r="H189" i="1"/>
  <c r="I189" i="1" s="1"/>
  <c r="J189" i="1" s="1"/>
  <c r="K189" i="1" s="1"/>
  <c r="L189" i="1" s="1"/>
  <c r="E183" i="1"/>
  <c r="F176" i="1"/>
  <c r="E176" i="1"/>
  <c r="H176" i="1" s="1"/>
  <c r="I176" i="1" s="1"/>
  <c r="J176" i="1" s="1"/>
  <c r="K176" i="1" s="1"/>
  <c r="L176" i="1" s="1"/>
  <c r="F175" i="1"/>
  <c r="E175" i="1"/>
  <c r="H175" i="1" s="1"/>
  <c r="I175" i="1" s="1"/>
  <c r="J175" i="1" s="1"/>
  <c r="K175" i="1" s="1"/>
  <c r="L175" i="1" s="1"/>
  <c r="F174" i="1"/>
  <c r="E174" i="1"/>
  <c r="H174" i="1" s="1"/>
  <c r="F173" i="1"/>
  <c r="E173" i="1"/>
  <c r="E168" i="1"/>
  <c r="E167" i="1"/>
  <c r="E166" i="1"/>
  <c r="F165" i="1"/>
  <c r="E165" i="1"/>
  <c r="F164" i="1"/>
  <c r="E164" i="1"/>
  <c r="H160" i="1"/>
  <c r="I160" i="1" s="1"/>
  <c r="J160" i="1" s="1"/>
  <c r="K160" i="1" s="1"/>
  <c r="L160" i="1" s="1"/>
  <c r="H136" i="1"/>
  <c r="I136" i="1" s="1"/>
  <c r="J136" i="1" s="1"/>
  <c r="K136" i="1" s="1"/>
  <c r="L136" i="1" s="1"/>
  <c r="E131" i="1"/>
  <c r="E109" i="1"/>
  <c r="H99" i="1"/>
  <c r="I99" i="1" s="1"/>
  <c r="J99" i="1" s="1"/>
  <c r="K99" i="1" s="1"/>
  <c r="L99" i="1" s="1"/>
  <c r="H74" i="1"/>
  <c r="I74" i="1" s="1"/>
  <c r="J74" i="1" s="1"/>
  <c r="K74" i="1" s="1"/>
  <c r="L74" i="1" s="1"/>
  <c r="F74" i="1"/>
  <c r="E74" i="1" s="1"/>
  <c r="G60" i="1"/>
  <c r="F60" i="1"/>
  <c r="E60" i="1"/>
  <c r="E56" i="1"/>
  <c r="G56" i="1"/>
  <c r="F56" i="1"/>
  <c r="F53" i="1"/>
  <c r="E53" i="1" s="1"/>
  <c r="H46" i="1"/>
  <c r="H45" i="1"/>
  <c r="H44" i="1"/>
  <c r="H43" i="1"/>
  <c r="H42" i="1"/>
  <c r="B2" i="1"/>
  <c r="I311" i="1" l="1"/>
  <c r="P318" i="1"/>
  <c r="H259" i="1"/>
  <c r="H241" i="1"/>
  <c r="H177" i="1"/>
  <c r="I174" i="1"/>
  <c r="E216" i="1"/>
  <c r="E222" i="1" s="1"/>
  <c r="E202" i="1"/>
  <c r="I228" i="1"/>
  <c r="F62" i="1"/>
  <c r="G62" i="1"/>
  <c r="E62" i="1"/>
  <c r="H53" i="1"/>
  <c r="I53" i="1" s="1"/>
  <c r="J53" i="1" s="1"/>
  <c r="K53" i="1" s="1"/>
  <c r="L53" i="1" s="1"/>
  <c r="J311" i="1" l="1"/>
  <c r="Q318" i="1"/>
  <c r="J228" i="1"/>
  <c r="I241" i="1"/>
  <c r="I259" i="1"/>
  <c r="I261" i="1" s="1"/>
  <c r="H261" i="1"/>
  <c r="I177" i="1"/>
  <c r="I79" i="1" s="1"/>
  <c r="J174" i="1"/>
  <c r="H79" i="1"/>
  <c r="H212" i="1"/>
  <c r="E224" i="1"/>
  <c r="K311" i="1" l="1"/>
  <c r="J313" i="1"/>
  <c r="J314" i="1" s="1"/>
  <c r="R318" i="1"/>
  <c r="I231" i="1"/>
  <c r="I265" i="1"/>
  <c r="H231" i="1"/>
  <c r="H264" i="1"/>
  <c r="K228" i="1"/>
  <c r="J241" i="1"/>
  <c r="J259" i="1"/>
  <c r="J261" i="1" s="1"/>
  <c r="K174" i="1"/>
  <c r="J177" i="1"/>
  <c r="J79" i="1" s="1"/>
  <c r="I212" i="1"/>
  <c r="L311" i="1" l="1"/>
  <c r="T318" i="1" s="1"/>
  <c r="S318" i="1"/>
  <c r="L228" i="1"/>
  <c r="K241" i="1"/>
  <c r="K259" i="1"/>
  <c r="K261" i="1" s="1"/>
  <c r="G264" i="1" a="1"/>
  <c r="I269" i="1"/>
  <c r="J265" i="1"/>
  <c r="K265" i="1" s="1"/>
  <c r="L265" i="1" s="1"/>
  <c r="J231" i="1"/>
  <c r="J266" i="1"/>
  <c r="H269" i="1"/>
  <c r="H270" i="1" s="1"/>
  <c r="I264" i="1"/>
  <c r="J212" i="1"/>
  <c r="L174" i="1"/>
  <c r="L177" i="1" s="1"/>
  <c r="L79" i="1" s="1"/>
  <c r="K177" i="1"/>
  <c r="K79" i="1" s="1"/>
  <c r="L24" i="1"/>
  <c r="N323" i="1" s="1"/>
  <c r="G267" i="1" l="1"/>
  <c r="B267" i="1" s="1"/>
  <c r="G268" i="1"/>
  <c r="B268" i="1" s="1"/>
  <c r="G266" i="1"/>
  <c r="B266" i="1" s="1"/>
  <c r="G264" i="1"/>
  <c r="B264" i="1" s="1"/>
  <c r="G265" i="1"/>
  <c r="B265" i="1" s="1"/>
  <c r="L241" i="1"/>
  <c r="L259" i="1"/>
  <c r="L261" i="1" s="1"/>
  <c r="I270" i="1"/>
  <c r="J264" i="1"/>
  <c r="K267" i="1"/>
  <c r="K231" i="1"/>
  <c r="H232" i="1"/>
  <c r="H242" i="1"/>
  <c r="H244" i="1" s="1"/>
  <c r="K266" i="1"/>
  <c r="L266" i="1" s="1"/>
  <c r="J269" i="1"/>
  <c r="J325" i="1"/>
  <c r="J342" i="1" s="1"/>
  <c r="G325" i="1"/>
  <c r="G342" i="1" s="1"/>
  <c r="K325" i="1"/>
  <c r="K342" i="1" s="1"/>
  <c r="H325" i="1"/>
  <c r="H342" i="1" s="1"/>
  <c r="L325" i="1"/>
  <c r="L342" i="1" s="1"/>
  <c r="I325" i="1"/>
  <c r="I342" i="1" s="1"/>
  <c r="F325" i="1"/>
  <c r="F342" i="1" s="1"/>
  <c r="K212" i="1"/>
  <c r="L212" i="1" s="1"/>
  <c r="L25" i="1"/>
  <c r="L8" i="1"/>
  <c r="L11" i="1" s="1"/>
  <c r="H80" i="1"/>
  <c r="H126" i="1"/>
  <c r="H127" i="1" s="1"/>
  <c r="K269" i="1" l="1"/>
  <c r="L267" i="1"/>
  <c r="L231" i="1"/>
  <c r="L268" i="1"/>
  <c r="L269" i="1" s="1"/>
  <c r="K264" i="1"/>
  <c r="L264" i="1" s="1"/>
  <c r="J270" i="1"/>
  <c r="I232" i="1"/>
  <c r="I242" i="1"/>
  <c r="I244" i="1" s="1"/>
  <c r="I125" i="1"/>
  <c r="I168" i="1" s="1"/>
  <c r="I80" i="1" s="1"/>
  <c r="H167" i="1"/>
  <c r="L270" i="1" l="1"/>
  <c r="K270" i="1"/>
  <c r="L232" i="1"/>
  <c r="L242" i="1"/>
  <c r="L244" i="1" s="1"/>
  <c r="J232" i="1"/>
  <c r="J242" i="1"/>
  <c r="J244" i="1" s="1"/>
  <c r="K232" i="1"/>
  <c r="K242" i="1"/>
  <c r="K244" i="1" s="1"/>
  <c r="I126" i="1"/>
  <c r="I127" i="1" s="1"/>
  <c r="J125" i="1" s="1"/>
  <c r="J168" i="1" s="1"/>
  <c r="I167" i="1" l="1"/>
  <c r="J80" i="1"/>
  <c r="J126" i="1"/>
  <c r="J127" i="1" s="1"/>
  <c r="K125" i="1" l="1"/>
  <c r="J167" i="1"/>
  <c r="K168" i="1" l="1"/>
  <c r="K126" i="1" l="1"/>
  <c r="K127" i="1" s="1"/>
  <c r="K80" i="1"/>
  <c r="L125" i="1" l="1"/>
  <c r="K167" i="1"/>
  <c r="L168" i="1" l="1"/>
  <c r="L126" i="1" l="1"/>
  <c r="L127" i="1" s="1"/>
  <c r="L167" i="1" s="1"/>
  <c r="L80" i="1"/>
  <c r="I313" i="1"/>
  <c r="I314" i="1" s="1"/>
  <c r="H313" i="1"/>
  <c r="H314" i="1" s="1"/>
  <c r="K313" i="1"/>
  <c r="K314" i="1" s="1"/>
  <c r="F12" i="1"/>
  <c r="F13" i="1"/>
  <c r="F14" i="1"/>
  <c r="H66" i="1"/>
  <c r="I66" i="1"/>
  <c r="J66" i="1"/>
  <c r="K66" i="1"/>
  <c r="L66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5" i="1"/>
  <c r="I75" i="1"/>
  <c r="J75" i="1"/>
  <c r="K75" i="1"/>
  <c r="L75" i="1"/>
  <c r="H81" i="1"/>
  <c r="I81" i="1"/>
  <c r="J81" i="1"/>
  <c r="K81" i="1"/>
  <c r="L81" i="1"/>
  <c r="H86" i="1"/>
  <c r="I86" i="1"/>
  <c r="J86" i="1"/>
  <c r="K86" i="1"/>
  <c r="L86" i="1"/>
  <c r="I88" i="1"/>
  <c r="J88" i="1"/>
  <c r="K88" i="1"/>
  <c r="L88" i="1"/>
  <c r="H90" i="1"/>
  <c r="I90" i="1"/>
  <c r="J90" i="1"/>
  <c r="K90" i="1"/>
  <c r="L90" i="1"/>
  <c r="H91" i="1"/>
  <c r="I91" i="1"/>
  <c r="J91" i="1"/>
  <c r="K91" i="1"/>
  <c r="L91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100" i="1"/>
  <c r="I100" i="1"/>
  <c r="J100" i="1"/>
  <c r="K100" i="1"/>
  <c r="L100" i="1"/>
  <c r="I101" i="1"/>
  <c r="J101" i="1"/>
  <c r="K101" i="1"/>
  <c r="L101" i="1"/>
  <c r="H103" i="1"/>
  <c r="I103" i="1"/>
  <c r="J103" i="1"/>
  <c r="K103" i="1"/>
  <c r="L103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I113" i="1"/>
  <c r="J113" i="1"/>
  <c r="K113" i="1"/>
  <c r="L113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I119" i="1"/>
  <c r="J119" i="1"/>
  <c r="K119" i="1"/>
  <c r="L119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7" i="1"/>
  <c r="I147" i="1"/>
  <c r="J147" i="1"/>
  <c r="K147" i="1"/>
  <c r="L147" i="1"/>
  <c r="H148" i="1"/>
  <c r="I148" i="1"/>
  <c r="J148" i="1"/>
  <c r="K148" i="1"/>
  <c r="L148" i="1"/>
  <c r="H150" i="1"/>
  <c r="I150" i="1"/>
  <c r="J150" i="1"/>
  <c r="K150" i="1"/>
  <c r="L150" i="1"/>
  <c r="H151" i="1"/>
  <c r="I151" i="1"/>
  <c r="J151" i="1"/>
  <c r="K151" i="1"/>
  <c r="L151" i="1"/>
  <c r="I153" i="1"/>
  <c r="J153" i="1"/>
  <c r="K153" i="1"/>
  <c r="L153" i="1"/>
  <c r="H154" i="1"/>
  <c r="I154" i="1"/>
  <c r="J154" i="1"/>
  <c r="K154" i="1"/>
  <c r="L154" i="1"/>
  <c r="H156" i="1"/>
  <c r="I156" i="1"/>
  <c r="J156" i="1"/>
  <c r="K156" i="1"/>
  <c r="L156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9" i="1"/>
  <c r="I169" i="1"/>
  <c r="J169" i="1"/>
  <c r="K169" i="1"/>
  <c r="L169" i="1"/>
  <c r="H170" i="1"/>
  <c r="I170" i="1"/>
  <c r="J170" i="1"/>
  <c r="K170" i="1"/>
  <c r="L170" i="1"/>
  <c r="H179" i="1"/>
  <c r="I179" i="1"/>
  <c r="J179" i="1"/>
  <c r="K179" i="1"/>
  <c r="L179" i="1"/>
  <c r="H181" i="1"/>
  <c r="I181" i="1"/>
  <c r="J181" i="1"/>
  <c r="K181" i="1"/>
  <c r="L181" i="1"/>
  <c r="H190" i="1"/>
  <c r="I190" i="1"/>
  <c r="J190" i="1"/>
  <c r="K190" i="1"/>
  <c r="L190" i="1"/>
  <c r="H194" i="1"/>
  <c r="I194" i="1"/>
  <c r="J194" i="1"/>
  <c r="K194" i="1"/>
  <c r="L194" i="1"/>
  <c r="H202" i="1"/>
  <c r="I202" i="1"/>
  <c r="J202" i="1"/>
  <c r="K202" i="1"/>
  <c r="L202" i="1"/>
  <c r="H211" i="1"/>
  <c r="I211" i="1"/>
  <c r="J211" i="1"/>
  <c r="K211" i="1"/>
  <c r="L211" i="1"/>
  <c r="H214" i="1"/>
  <c r="I214" i="1"/>
  <c r="J214" i="1"/>
  <c r="K214" i="1"/>
  <c r="L214" i="1"/>
  <c r="H216" i="1"/>
  <c r="I216" i="1"/>
  <c r="J216" i="1"/>
  <c r="K216" i="1"/>
  <c r="L216" i="1"/>
  <c r="H219" i="1"/>
  <c r="I219" i="1"/>
  <c r="J219" i="1"/>
  <c r="K219" i="1"/>
  <c r="L219" i="1"/>
  <c r="H220" i="1"/>
  <c r="I220" i="1"/>
  <c r="J220" i="1"/>
  <c r="K220" i="1"/>
  <c r="L220" i="1"/>
  <c r="H222" i="1"/>
  <c r="I222" i="1"/>
  <c r="J222" i="1"/>
  <c r="K222" i="1"/>
  <c r="L222" i="1"/>
  <c r="H224" i="1"/>
  <c r="I224" i="1"/>
  <c r="J224" i="1"/>
  <c r="K224" i="1"/>
  <c r="L224" i="1"/>
  <c r="H229" i="1"/>
  <c r="I229" i="1"/>
  <c r="J229" i="1"/>
  <c r="K229" i="1"/>
  <c r="L229" i="1"/>
  <c r="H230" i="1"/>
  <c r="I230" i="1"/>
  <c r="J230" i="1"/>
  <c r="K230" i="1"/>
  <c r="L230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7" i="1"/>
  <c r="I237" i="1"/>
  <c r="J237" i="1"/>
  <c r="K237" i="1"/>
  <c r="L237" i="1"/>
  <c r="H245" i="1"/>
  <c r="I245" i="1"/>
  <c r="J245" i="1"/>
  <c r="K245" i="1"/>
  <c r="L245" i="1"/>
  <c r="H246" i="1"/>
  <c r="I246" i="1"/>
  <c r="J246" i="1"/>
  <c r="K246" i="1"/>
  <c r="L246" i="1"/>
  <c r="H248" i="1"/>
  <c r="I248" i="1"/>
  <c r="J248" i="1"/>
  <c r="K248" i="1"/>
  <c r="L248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6" i="1"/>
  <c r="I256" i="1"/>
  <c r="J256" i="1"/>
  <c r="K256" i="1"/>
  <c r="L256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84" i="1"/>
  <c r="I284" i="1"/>
  <c r="J284" i="1"/>
  <c r="K284" i="1"/>
  <c r="L284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L313" i="1"/>
  <c r="L314" i="1"/>
  <c r="D316" i="1"/>
  <c r="P316" i="1"/>
  <c r="Q316" i="1"/>
  <c r="R316" i="1"/>
  <c r="S316" i="1"/>
  <c r="T316" i="1"/>
  <c r="D317" i="1"/>
  <c r="P317" i="1"/>
  <c r="Q317" i="1"/>
  <c r="R317" i="1"/>
  <c r="S317" i="1"/>
  <c r="T317" i="1"/>
  <c r="E327" i="1"/>
  <c r="E344" i="1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9" i="2"/>
  <c r="G39" i="2"/>
  <c r="H39" i="2"/>
  <c r="I39" i="2"/>
  <c r="J39" i="2"/>
  <c r="K39" i="2"/>
  <c r="F41" i="2"/>
  <c r="G41" i="2"/>
  <c r="H41" i="2"/>
  <c r="I41" i="2"/>
  <c r="J41" i="2"/>
  <c r="K41" i="2"/>
  <c r="F42" i="2"/>
  <c r="G42" i="2"/>
  <c r="H42" i="2"/>
  <c r="I42" i="2"/>
  <c r="J42" i="2"/>
  <c r="K42" i="2"/>
  <c r="F58" i="2"/>
  <c r="G58" i="2"/>
  <c r="H58" i="2"/>
  <c r="I58" i="2"/>
  <c r="J58" i="2"/>
  <c r="K58" i="2"/>
  <c r="F63" i="2"/>
  <c r="G63" i="2"/>
  <c r="H63" i="2"/>
  <c r="I63" i="2"/>
  <c r="J63" i="2"/>
  <c r="K63" i="2"/>
  <c r="F71" i="2"/>
  <c r="G71" i="2"/>
  <c r="H71" i="2"/>
  <c r="I71" i="2"/>
  <c r="J71" i="2"/>
  <c r="K71" i="2"/>
  <c r="F91" i="2"/>
  <c r="G91" i="2"/>
  <c r="H91" i="2"/>
  <c r="I91" i="2"/>
  <c r="J91" i="2"/>
  <c r="K91" i="2"/>
  <c r="F92" i="2"/>
  <c r="G92" i="2"/>
  <c r="H92" i="2"/>
  <c r="I92" i="2"/>
  <c r="J92" i="2"/>
  <c r="K92" i="2"/>
  <c r="F94" i="2"/>
  <c r="G94" i="2"/>
  <c r="H94" i="2"/>
  <c r="I94" i="2"/>
  <c r="J94" i="2"/>
  <c r="K94" i="2"/>
  <c r="F139" i="2"/>
  <c r="G139" i="2"/>
  <c r="H139" i="2"/>
  <c r="I139" i="2"/>
  <c r="J139" i="2"/>
  <c r="K139" i="2"/>
  <c r="F143" i="2"/>
  <c r="G143" i="2"/>
  <c r="H143" i="2"/>
  <c r="I143" i="2"/>
  <c r="J143" i="2"/>
  <c r="K143" i="2"/>
  <c r="F148" i="2"/>
  <c r="G148" i="2"/>
  <c r="H148" i="2"/>
  <c r="I148" i="2"/>
  <c r="J148" i="2"/>
  <c r="K148" i="2"/>
  <c r="F152" i="2"/>
  <c r="G152" i="2"/>
  <c r="H152" i="2"/>
  <c r="I152" i="2"/>
  <c r="J152" i="2"/>
  <c r="K152" i="2"/>
  <c r="F154" i="2"/>
  <c r="G154" i="2"/>
  <c r="H154" i="2"/>
  <c r="I154" i="2"/>
  <c r="J154" i="2"/>
  <c r="K154" i="2"/>
  <c r="G156" i="2"/>
  <c r="H156" i="2"/>
  <c r="I156" i="2"/>
  <c r="J156" i="2"/>
  <c r="K156" i="2"/>
  <c r="F157" i="2"/>
  <c r="G157" i="2"/>
  <c r="H157" i="2"/>
  <c r="I157" i="2"/>
  <c r="J157" i="2"/>
  <c r="K157" i="2"/>
  <c r="F158" i="2"/>
  <c r="G158" i="2"/>
  <c r="H158" i="2"/>
  <c r="I158" i="2"/>
  <c r="J158" i="2"/>
  <c r="K158" i="2"/>
  <c r="G163" i="2"/>
  <c r="H163" i="2"/>
  <c r="I163" i="2"/>
  <c r="J163" i="2"/>
  <c r="K163" i="2"/>
  <c r="F164" i="2"/>
  <c r="G164" i="2"/>
  <c r="H164" i="2"/>
  <c r="I164" i="2"/>
  <c r="J164" i="2"/>
  <c r="K164" i="2"/>
  <c r="F166" i="2"/>
  <c r="G166" i="2"/>
  <c r="H166" i="2"/>
  <c r="I166" i="2"/>
  <c r="J166" i="2"/>
  <c r="K166" i="2"/>
  <c r="F168" i="2"/>
  <c r="G168" i="2"/>
  <c r="H168" i="2"/>
  <c r="I168" i="2"/>
  <c r="J168" i="2"/>
  <c r="K168" i="2"/>
  <c r="F172" i="2"/>
  <c r="G172" i="2"/>
  <c r="H172" i="2"/>
  <c r="I172" i="2"/>
  <c r="J172" i="2"/>
  <c r="K172" i="2"/>
  <c r="L175" i="2"/>
  <c r="F180" i="2"/>
  <c r="G180" i="2"/>
  <c r="H180" i="2"/>
  <c r="I180" i="2"/>
  <c r="J180" i="2"/>
  <c r="K180" i="2"/>
  <c r="F182" i="2"/>
  <c r="G182" i="2"/>
  <c r="H182" i="2"/>
  <c r="I182" i="2"/>
  <c r="J182" i="2"/>
  <c r="K182" i="2"/>
  <c r="G184" i="2"/>
  <c r="H184" i="2"/>
  <c r="I184" i="2"/>
  <c r="J184" i="2"/>
  <c r="K184" i="2"/>
  <c r="F186" i="2"/>
  <c r="G186" i="2"/>
  <c r="H186" i="2"/>
  <c r="I186" i="2"/>
  <c r="J186" i="2"/>
  <c r="K186" i="2"/>
  <c r="F195" i="2"/>
  <c r="G195" i="2"/>
  <c r="H195" i="2"/>
  <c r="I195" i="2"/>
  <c r="J195" i="2"/>
  <c r="K195" i="2"/>
  <c r="G196" i="2"/>
  <c r="H196" i="2"/>
  <c r="I196" i="2"/>
  <c r="J196" i="2"/>
  <c r="K196" i="2"/>
  <c r="F197" i="2"/>
  <c r="G197" i="2"/>
  <c r="H197" i="2"/>
  <c r="I197" i="2"/>
  <c r="J197" i="2"/>
  <c r="K197" i="2"/>
  <c r="F198" i="2"/>
  <c r="G198" i="2"/>
  <c r="H198" i="2"/>
  <c r="I198" i="2"/>
  <c r="J198" i="2"/>
  <c r="K198" i="2"/>
  <c r="F202" i="2"/>
  <c r="G202" i="2"/>
  <c r="H202" i="2"/>
  <c r="I202" i="2"/>
  <c r="J202" i="2"/>
  <c r="K202" i="2"/>
  <c r="F205" i="2"/>
  <c r="G205" i="2"/>
  <c r="H205" i="2"/>
  <c r="I205" i="2"/>
  <c r="J205" i="2"/>
  <c r="K205" i="2"/>
  <c r="F207" i="2"/>
  <c r="G207" i="2"/>
  <c r="H207" i="2"/>
  <c r="I207" i="2"/>
  <c r="J207" i="2"/>
  <c r="K207" i="2"/>
  <c r="F209" i="2"/>
  <c r="G209" i="2"/>
  <c r="H209" i="2"/>
  <c r="I209" i="2"/>
  <c r="J209" i="2"/>
  <c r="K209" i="2"/>
  <c r="F211" i="2"/>
  <c r="G211" i="2"/>
  <c r="H211" i="2"/>
  <c r="I211" i="2"/>
  <c r="J211" i="2"/>
  <c r="K211" i="2"/>
  <c r="G215" i="2"/>
  <c r="H215" i="2"/>
  <c r="I215" i="2"/>
  <c r="J215" i="2"/>
  <c r="K215" i="2"/>
  <c r="F218" i="2"/>
  <c r="G218" i="2"/>
  <c r="H218" i="2"/>
  <c r="I218" i="2"/>
  <c r="J218" i="2"/>
  <c r="K218" i="2"/>
  <c r="F219" i="2"/>
  <c r="G219" i="2"/>
  <c r="H219" i="2"/>
  <c r="I219" i="2"/>
  <c r="J219" i="2"/>
  <c r="K219" i="2"/>
  <c r="F222" i="2"/>
  <c r="G222" i="2"/>
  <c r="H222" i="2"/>
  <c r="I222" i="2"/>
  <c r="J222" i="2"/>
  <c r="K222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30" i="2"/>
  <c r="G230" i="2"/>
  <c r="H230" i="2"/>
  <c r="I230" i="2"/>
  <c r="J230" i="2"/>
  <c r="K230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3" i="2"/>
  <c r="G233" i="2"/>
  <c r="H233" i="2"/>
  <c r="I233" i="2"/>
  <c r="J233" i="2"/>
  <c r="K233" i="2"/>
  <c r="C2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 Pakel</author>
  </authors>
  <commentList>
    <comment ref="F17" authorId="0" shapeId="0" xr:uid="{A86EEA18-DDA4-45EC-8536-267D1ECA9C09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
from trading comps model. LTM EBITDA multiple</t>
        </r>
      </text>
    </comment>
    <comment ref="F18" authorId="0" shapeId="0" xr:uid="{B84FBE9F-9579-4171-B374-6CA3AB79E966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assume exit is same as entry for baseline</t>
        </r>
      </text>
    </comment>
    <comment ref="F19" authorId="0" shapeId="0" xr:uid="{DDA1759A-8A7B-462E-8DAF-F4428BC52200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F21" authorId="0" shapeId="0" xr:uid="{86DC4FB1-70F9-4A44-904E-3E0E9AB76EAE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F22" authorId="0" shapeId="0" xr:uid="{C96D1C12-18D2-43E9-AC62-00085406306F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F24" authorId="0" shapeId="0" xr:uid="{8FAD32EE-E73D-4935-AF89-C1CD68C3CBAA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C32" authorId="0" shapeId="0" xr:uid="{FCA62535-4472-4667-B7D6-F9C0DD8AA259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B161" authorId="0" shapeId="0" xr:uid="{8C02E7D6-44F3-40DA-AFC0-F2B1DA023FBB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 based on current projection/historical data</t>
        </r>
      </text>
    </comment>
    <comment ref="P189" authorId="0" shapeId="0" xr:uid="{ADC461FB-D374-4B3B-BA7C-8CFE404E2543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P190" authorId="0" shapeId="0" xr:uid="{31B1E118-0984-4272-B51B-1075614F1157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D237" authorId="0" shapeId="0" xr:uid="{ECAFBAEF-5A8B-4DDD-8AA7-B93E56DBC3C6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average state rate</t>
        </r>
      </text>
    </comment>
    <comment ref="E237" authorId="0" shapeId="0" xr:uid="{70CA24AE-CD28-44CB-955E-836335D25A76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federal corporate rate</t>
        </r>
      </text>
    </comment>
    <comment ref="E244" authorId="0" shapeId="0" xr:uid="{BA7D218B-B9DE-4CB0-852E-D730B7584B76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corporate maximum interest deduction rate: 30% of EBITDA</t>
        </r>
      </text>
    </comment>
    <comment ref="F259" authorId="0" shapeId="0" xr:uid="{1A8506D3-D4EF-47A5-BA93-799EA45FB469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E264" authorId="0" shapeId="0" xr:uid="{E1400258-8AF7-432B-9707-4416D0DDF2F2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  <comment ref="H273" authorId="0" shapeId="0" xr:uid="{41C6C249-DC90-49EC-9DE0-1924701B7877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10k</t>
        </r>
      </text>
    </comment>
    <comment ref="E275" authorId="0" shapeId="0" xr:uid="{FB8BF88F-35DF-4282-9335-DDB95B131396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cares act. 80% NOL deduction limit</t>
        </r>
      </text>
    </comment>
    <comment ref="C294" authorId="0" shapeId="0" xr:uid="{2DBBDCF9-1D9E-422B-95AF-9C4B2163210D}">
      <text>
        <r>
          <rPr>
            <b/>
            <sz val="9"/>
            <color indexed="81"/>
            <rFont val="Tahoma"/>
            <family val="2"/>
          </rPr>
          <t>Brando Pakel:</t>
        </r>
        <r>
          <rPr>
            <sz val="9"/>
            <color indexed="81"/>
            <rFont val="Tahoma"/>
            <family val="2"/>
          </rPr>
          <t xml:space="preserve">
base assumption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 Street Oasis</author>
  </authors>
  <commentList>
    <comment ref="B191" authorId="0" shapeId="0" xr:uid="{EC09F4E4-9079-42F6-9FC8-896D14B8960F}">
      <text>
        <r>
          <rPr>
            <sz val="9"/>
            <color indexed="81"/>
            <rFont val="Tahoma"/>
            <family val="2"/>
          </rPr>
          <t>Assumes all maturing debt is refinanced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<sst xmlns="http://schemas.openxmlformats.org/spreadsheetml/2006/main" count="545" uniqueCount="398">
  <si>
    <t>x</t>
  </si>
  <si>
    <t>(USD in millions, except per share)</t>
  </si>
  <si>
    <t>Summary</t>
  </si>
  <si>
    <t>Share Dilution</t>
  </si>
  <si>
    <t>Company name</t>
  </si>
  <si>
    <t>Nvidia</t>
  </si>
  <si>
    <t>(Shares in millions)</t>
  </si>
  <si>
    <t>Shares</t>
  </si>
  <si>
    <t>Exercise</t>
  </si>
  <si>
    <t>Net</t>
  </si>
  <si>
    <t>Ticker</t>
  </si>
  <si>
    <t>NVDA</t>
  </si>
  <si>
    <t>Price</t>
  </si>
  <si>
    <t>Share price as of last close</t>
  </si>
  <si>
    <t>Dilution from Stock Options</t>
  </si>
  <si>
    <t>Latest closing share price date</t>
  </si>
  <si>
    <t>Restricted Stock Units</t>
  </si>
  <si>
    <t>Latest fiscal year end date</t>
  </si>
  <si>
    <t>Basic Shares Outstanding</t>
  </si>
  <si>
    <t>Circularity</t>
  </si>
  <si>
    <t>Fully Diluted Shares Outstanding</t>
  </si>
  <si>
    <t>Revolver Compliance Check</t>
  </si>
  <si>
    <t>Sponsor IRR</t>
  </si>
  <si>
    <t>Sponsor MoM</t>
  </si>
  <si>
    <t>Key Assumptions</t>
  </si>
  <si>
    <t>Entry Valuation</t>
  </si>
  <si>
    <t>Entry Multiple</t>
  </si>
  <si>
    <t>EBITDA @ Acquisition</t>
  </si>
  <si>
    <t>Exit Multiple</t>
  </si>
  <si>
    <t>EBITDA Multiple</t>
  </si>
  <si>
    <t>Max Leverage</t>
  </si>
  <si>
    <t>Enterprise Value</t>
  </si>
  <si>
    <t>(-) Total Debt</t>
  </si>
  <si>
    <t>Minimum Cash Balance</t>
  </si>
  <si>
    <t>(+) Cash</t>
  </si>
  <si>
    <t>Management Rollover</t>
  </si>
  <si>
    <t>Equity Value</t>
  </si>
  <si>
    <t>Transaction Fees</t>
  </si>
  <si>
    <t>Offer Price per Share</t>
  </si>
  <si>
    <t>% Premium / (Discount) to Current Price</t>
  </si>
  <si>
    <t>Financing Assumptions</t>
  </si>
  <si>
    <t>Spread /</t>
  </si>
  <si>
    <t>Max</t>
  </si>
  <si>
    <t>Max X of</t>
  </si>
  <si>
    <t>Coupon /</t>
  </si>
  <si>
    <t>Tranche</t>
  </si>
  <si>
    <t>Facility</t>
  </si>
  <si>
    <t>$</t>
  </si>
  <si>
    <t>EBITDA</t>
  </si>
  <si>
    <t>Dividend</t>
  </si>
  <si>
    <t>Floor</t>
  </si>
  <si>
    <t>PIK Rate</t>
  </si>
  <si>
    <t>OID</t>
  </si>
  <si>
    <t>Tenor</t>
  </si>
  <si>
    <t>Fee %</t>
  </si>
  <si>
    <t>Fee &amp; OID $</t>
  </si>
  <si>
    <t>Revolver</t>
  </si>
  <si>
    <t xml:space="preserve">Term Loan </t>
  </si>
  <si>
    <t>Subordinated Debt</t>
  </si>
  <si>
    <t>Mezzanine Financing</t>
  </si>
  <si>
    <t>Preferred Stock</t>
  </si>
  <si>
    <t>Total Debt</t>
  </si>
  <si>
    <t>Leverage Ratio</t>
  </si>
  <si>
    <t>Uses</t>
  </si>
  <si>
    <t>%</t>
  </si>
  <si>
    <t>Sources</t>
  </si>
  <si>
    <t>X</t>
  </si>
  <si>
    <t>Equity Purchase Price</t>
  </si>
  <si>
    <t>Excess Cash</t>
  </si>
  <si>
    <t>Refinance Debt</t>
  </si>
  <si>
    <t>Financing Fees &amp; OID</t>
  </si>
  <si>
    <t>Mgmt Rollover</t>
  </si>
  <si>
    <t>Sponsor Equity</t>
  </si>
  <si>
    <t>Total Uses</t>
  </si>
  <si>
    <t>Total Sources</t>
  </si>
  <si>
    <t>Income Statement</t>
  </si>
  <si>
    <t>Revenue</t>
  </si>
  <si>
    <t>COGS</t>
  </si>
  <si>
    <t>Gross Profit</t>
  </si>
  <si>
    <t>Demand creation</t>
  </si>
  <si>
    <t>Operating overhead</t>
  </si>
  <si>
    <t>Total SG&amp;A (less depreciation)</t>
  </si>
  <si>
    <t>Depreciation</t>
  </si>
  <si>
    <t>Amortization</t>
  </si>
  <si>
    <t>EBIT</t>
  </si>
  <si>
    <t>Net interest expense</t>
  </si>
  <si>
    <t>Other expense (income)</t>
  </si>
  <si>
    <t>Pre-tax income</t>
  </si>
  <si>
    <t>Taxes</t>
  </si>
  <si>
    <t>Net Income</t>
  </si>
  <si>
    <t>Cash Flow Statement</t>
  </si>
  <si>
    <t>(+) Depreciation</t>
  </si>
  <si>
    <t>(+) Amortization</t>
  </si>
  <si>
    <t>(-) Increases in Net Working Capital</t>
  </si>
  <si>
    <t>(+) Amortized Financing Fees &amp; OID</t>
  </si>
  <si>
    <t>(+) PIK Interest</t>
  </si>
  <si>
    <t>Cash Flow from Operations</t>
  </si>
  <si>
    <t>Capex</t>
  </si>
  <si>
    <t>Cash Flow From Investing Activities</t>
  </si>
  <si>
    <t>Free Cash Flow</t>
  </si>
  <si>
    <t>Mandatory Amortization</t>
  </si>
  <si>
    <t>Preferred Stock Cash Dividend</t>
  </si>
  <si>
    <t>(Discretionary Debt Paydown) / Revolver Draw</t>
  </si>
  <si>
    <t>Cash Flow From Financing Activities</t>
  </si>
  <si>
    <t>Cash Beginning Balance</t>
  </si>
  <si>
    <t>Change in Cash</t>
  </si>
  <si>
    <t>Cash Ending Balance</t>
  </si>
  <si>
    <t>Debt Schedule</t>
  </si>
  <si>
    <t>Cash Flow After Mandatory Debt Service</t>
  </si>
  <si>
    <t>Beginning Cash</t>
  </si>
  <si>
    <t>Minimum Cash</t>
  </si>
  <si>
    <t>Free Cash Flow Available for Optional Debt Paydown</t>
  </si>
  <si>
    <t>Revolver:</t>
  </si>
  <si>
    <t>Beginning Balance</t>
  </si>
  <si>
    <t>Draw (Paydown)</t>
  </si>
  <si>
    <t>Ending Balance</t>
  </si>
  <si>
    <t>Unused Facility</t>
  </si>
  <si>
    <t>Compliance Check</t>
  </si>
  <si>
    <t>Term Loan:</t>
  </si>
  <si>
    <t>Optional Paydown</t>
  </si>
  <si>
    <t>Subordinated Debt:</t>
  </si>
  <si>
    <t>Mezzanine Financing:</t>
  </si>
  <si>
    <t>PIK Interest</t>
  </si>
  <si>
    <t>Preferred Stock:</t>
  </si>
  <si>
    <t>PIK Accrual</t>
  </si>
  <si>
    <t>Credit Metrics</t>
  </si>
  <si>
    <t>Total Debt / EBITDA</t>
  </si>
  <si>
    <t>Net Debt / EBITDA</t>
  </si>
  <si>
    <t>Net Debt / (EBITDA - Capex)</t>
  </si>
  <si>
    <t>EBITDA / Total Interest</t>
  </si>
  <si>
    <t>EBITDA / Cash Interest</t>
  </si>
  <si>
    <t>Fixed Charge Coverage Ratio</t>
  </si>
  <si>
    <t>Free Cash Flow / Total Debt</t>
  </si>
  <si>
    <t>% Debt Paydown</t>
  </si>
  <si>
    <t>Memo:</t>
  </si>
  <si>
    <t>Net Debt</t>
  </si>
  <si>
    <t>Total Interest Expense</t>
  </si>
  <si>
    <t>Cash Interest Expense</t>
  </si>
  <si>
    <t>Capital Expenditures</t>
  </si>
  <si>
    <t>Cash Taxes</t>
  </si>
  <si>
    <t>Increase in Net Working Capital</t>
  </si>
  <si>
    <t>Interest Schedule</t>
  </si>
  <si>
    <t>3 Month LIBOR</t>
  </si>
  <si>
    <t>Coupon</t>
  </si>
  <si>
    <t>Mezzanine Financing - Cash Interest</t>
  </si>
  <si>
    <t>Mezzanine Financing - PIK Interest</t>
  </si>
  <si>
    <t>Undrawn Revolver Commitment Fee</t>
  </si>
  <si>
    <t>Total Interest Expense on Debt</t>
  </si>
  <si>
    <t>Financing Fees &amp; OID:</t>
  </si>
  <si>
    <t>Total Financing Fees &amp; OID Amortization</t>
  </si>
  <si>
    <t>Interest Income on Cash</t>
  </si>
  <si>
    <t>Net Interest Expense (Income)</t>
  </si>
  <si>
    <t>Preferred Stock Dividend - Cash</t>
  </si>
  <si>
    <t>Preferred Stock PIK Accrual</t>
  </si>
  <si>
    <t>Balance Sheet</t>
  </si>
  <si>
    <t>Purchase Accounting</t>
  </si>
  <si>
    <t>Acquisition</t>
  </si>
  <si>
    <t>Book Value of Equity</t>
  </si>
  <si>
    <t>Useful Life</t>
  </si>
  <si>
    <t>D&amp;A</t>
  </si>
  <si>
    <t>Adjustments</t>
  </si>
  <si>
    <t>2022 PF</t>
  </si>
  <si>
    <t>(+) PP&amp;E Write-Up</t>
  </si>
  <si>
    <t>Cash and equivalents</t>
  </si>
  <si>
    <t>(+) Intangible Write-Up</t>
  </si>
  <si>
    <t>Accounts receivable, net</t>
  </si>
  <si>
    <t>(-) New Deferred Tax Liability (DTL)</t>
  </si>
  <si>
    <t>Inventories</t>
  </si>
  <si>
    <t>Fair Market Value</t>
  </si>
  <si>
    <t>Prepaid expenses and other current assets</t>
  </si>
  <si>
    <t>Current Assets</t>
  </si>
  <si>
    <t>(-) Fair Market Value</t>
  </si>
  <si>
    <t>Property, plant, and equipment, net</t>
  </si>
  <si>
    <t>New Goodwill Created</t>
  </si>
  <si>
    <t>Identifiable intangible assets, net</t>
  </si>
  <si>
    <t>Goodwill</t>
  </si>
  <si>
    <t>Deferred income taxes and other assets</t>
  </si>
  <si>
    <t>Long-Term Assets</t>
  </si>
  <si>
    <t>Total Assets</t>
  </si>
  <si>
    <t>Current portion of long-term debt</t>
  </si>
  <si>
    <t>Notes payable</t>
  </si>
  <si>
    <t>Accounts payable</t>
  </si>
  <si>
    <t>Accrued liabilities</t>
  </si>
  <si>
    <t>Current Liabilities</t>
  </si>
  <si>
    <t>Income taxes payable</t>
  </si>
  <si>
    <t>Long-Term Debt</t>
  </si>
  <si>
    <t>Def. Financing Fees &amp; OID (Contra-Debt)</t>
  </si>
  <si>
    <t>Deferred income taxes and other liabilities</t>
  </si>
  <si>
    <t>Long-Term Liabilities</t>
  </si>
  <si>
    <t>Total Liabilities</t>
  </si>
  <si>
    <t>Equity</t>
  </si>
  <si>
    <t>Total Stockholder's Equity</t>
  </si>
  <si>
    <t>Total Liabilities + Stockholder's Equity</t>
  </si>
  <si>
    <t>Check</t>
  </si>
  <si>
    <t>Tax Schedule</t>
  </si>
  <si>
    <t>Pretax Income</t>
  </si>
  <si>
    <t>Interest Deduction Limit Adjustment</t>
  </si>
  <si>
    <t>Accelerated Depreciation of Capex</t>
  </si>
  <si>
    <t>Foregone Depreciation Adjustment</t>
  </si>
  <si>
    <t>Taxable Income before NOLs</t>
  </si>
  <si>
    <t>Use of NOLs</t>
  </si>
  <si>
    <t>Taxable Income</t>
  </si>
  <si>
    <t>State Rate</t>
  </si>
  <si>
    <t>Federal Rate</t>
  </si>
  <si>
    <t>Total</t>
  </si>
  <si>
    <t>Interest Deduction Limit:</t>
  </si>
  <si>
    <t>Phase-Out</t>
  </si>
  <si>
    <t>Memo: Metric (EBITDA vs. EBIT)</t>
  </si>
  <si>
    <t>Metric</t>
  </si>
  <si>
    <t>Maximum Interest Deduction</t>
  </si>
  <si>
    <t>Net Interest Expense</t>
  </si>
  <si>
    <t>Interest Deduction Limit</t>
  </si>
  <si>
    <t>Disallowed Interest</t>
  </si>
  <si>
    <t>Disallowed Interest Carryforward:</t>
  </si>
  <si>
    <t>Additions</t>
  </si>
  <si>
    <t>Use of Deduction Credits</t>
  </si>
  <si>
    <t>Capex Accelerated Depreciation Adjustment:</t>
  </si>
  <si>
    <t>% Allowed</t>
  </si>
  <si>
    <t>Phase Out:</t>
  </si>
  <si>
    <t>Total Capex</t>
  </si>
  <si>
    <t>Annual Depreciation Spend Foregone:</t>
  </si>
  <si>
    <t>Useful Life:</t>
  </si>
  <si>
    <t>(-) Initial Year</t>
  </si>
  <si>
    <t>NOLs:</t>
  </si>
  <si>
    <t>Cap:</t>
  </si>
  <si>
    <t>Returns</t>
  </si>
  <si>
    <t>EBITDA @ Exit</t>
  </si>
  <si>
    <t>(-) Debt</t>
  </si>
  <si>
    <t>(-) Preferred Stock</t>
  </si>
  <si>
    <t>Equity Value (pre-Options)</t>
  </si>
  <si>
    <t>(+) Option Proceeds</t>
  </si>
  <si>
    <t>Distributed Equity</t>
  </si>
  <si>
    <t>Implied Price per Share @ Exit</t>
  </si>
  <si>
    <t>Diluted Shares:</t>
  </si>
  <si>
    <t>Strike Price</t>
  </si>
  <si>
    <t xml:space="preserve">Initial </t>
  </si>
  <si>
    <t>Fully Diluted</t>
  </si>
  <si>
    <t>Management Options</t>
  </si>
  <si>
    <t>Mezzanine Dilute</t>
  </si>
  <si>
    <t>$ at Exit:</t>
  </si>
  <si>
    <t>Sponsor Investment</t>
  </si>
  <si>
    <t>Exit Year</t>
  </si>
  <si>
    <t>Proceeds at Exit</t>
  </si>
  <si>
    <t>Net Cash Flow</t>
  </si>
  <si>
    <t>compounded annual rate of return method check</t>
  </si>
  <si>
    <t>Sponsor IRR:</t>
  </si>
  <si>
    <t>MOM</t>
  </si>
  <si>
    <t>Sponsor MoM:</t>
  </si>
  <si>
    <t>IRR</t>
  </si>
  <si>
    <t>Year</t>
  </si>
  <si>
    <t>Sensitivity Analyses</t>
  </si>
  <si>
    <t>Implied Offer Price per Share</t>
  </si>
  <si>
    <t>Implied Premium (Discount) to Current Share Price</t>
  </si>
  <si>
    <t>Leverage</t>
  </si>
  <si>
    <t>Note: Exit multiple set equivalent to Entry Multiple</t>
  </si>
  <si>
    <t>Exit 
Multiple</t>
  </si>
  <si>
    <t>Company Name</t>
  </si>
  <si>
    <t>NVIDIA</t>
  </si>
  <si>
    <t>Case</t>
  </si>
  <si>
    <t>Base Case</t>
  </si>
  <si>
    <t>&lt;--Customize model with Drop-Down</t>
  </si>
  <si>
    <t>Revenue Growth Rate</t>
  </si>
  <si>
    <t>COGS (excl. D&amp;A)</t>
  </si>
  <si>
    <t>Gross Profit Margin</t>
  </si>
  <si>
    <t>Research and Development</t>
  </si>
  <si>
    <t>Other SG&amp;A</t>
  </si>
  <si>
    <t>Total SG&amp;A (excl. D &amp; A)</t>
  </si>
  <si>
    <t>SG&amp;A Ratio</t>
  </si>
  <si>
    <t>Reported EBITDA</t>
  </si>
  <si>
    <t>EBITDA Margin</t>
  </si>
  <si>
    <t>Unusual Expense</t>
  </si>
  <si>
    <t>Non-Operating Income/Expense</t>
  </si>
  <si>
    <t>Non-Operating Interest Income</t>
  </si>
  <si>
    <t>Interest Expense</t>
  </si>
  <si>
    <t>Income Tax (Benefit)</t>
  </si>
  <si>
    <t>Annual Effective Tax Rate</t>
  </si>
  <si>
    <t>EPS (Basic)</t>
  </si>
  <si>
    <t>EPS (Diluted)</t>
  </si>
  <si>
    <t>Drivers</t>
  </si>
  <si>
    <t>Revenue Growth</t>
  </si>
  <si>
    <t>Upside Case</t>
  </si>
  <si>
    <t>Downside Case</t>
  </si>
  <si>
    <t>Gross Margin</t>
  </si>
  <si>
    <t>SG&amp;A as % of Revenue</t>
  </si>
  <si>
    <t>Effective Tax Rate</t>
  </si>
  <si>
    <t>Assets:</t>
  </si>
  <si>
    <t>Cash and Cash Equivalents</t>
  </si>
  <si>
    <t>Marketable Securities</t>
  </si>
  <si>
    <t>Accounts Receivable, net</t>
  </si>
  <si>
    <t>Prepaid Expenses</t>
  </si>
  <si>
    <t>Total Current Assets</t>
  </si>
  <si>
    <t>PP&amp;E, net</t>
  </si>
  <si>
    <t>Operating Lease Assets</t>
  </si>
  <si>
    <t>Intangible Assets, net</t>
  </si>
  <si>
    <t>Deferred Income Tax Assets</t>
  </si>
  <si>
    <t>Other Assets</t>
  </si>
  <si>
    <t>Liabilities and Shareholder's Equity:</t>
  </si>
  <si>
    <t>Accounts Payable</t>
  </si>
  <si>
    <t>Accrued and Other Current Liabilities</t>
  </si>
  <si>
    <t>Short-Term Debt</t>
  </si>
  <si>
    <t>Total current liabilities</t>
  </si>
  <si>
    <t>Long-Term Operating Lease Liabilities</t>
  </si>
  <si>
    <t>Other Long-Term Liabilities</t>
  </si>
  <si>
    <t>Total liabilities</t>
  </si>
  <si>
    <t>Shareholder's Equity:</t>
  </si>
  <si>
    <t>Common Stock</t>
  </si>
  <si>
    <t>Additional Paid-in Capital</t>
  </si>
  <si>
    <t>Treasury Stock</t>
  </si>
  <si>
    <t>Accumulated Other Comprehensive Income (loss)</t>
  </si>
  <si>
    <t>Retained Earnings</t>
  </si>
  <si>
    <t>Total shareholders' equity</t>
  </si>
  <si>
    <t>Total liabilities and shareholders' equity</t>
  </si>
  <si>
    <t>Working Capital Schedule</t>
  </si>
  <si>
    <t>Working Capital Balances</t>
  </si>
  <si>
    <t>Prepaid Expenses and Other Current Assets</t>
  </si>
  <si>
    <t>Total Non-Cash Current Assets</t>
  </si>
  <si>
    <t>Accrued Liabilities</t>
  </si>
  <si>
    <t>Total Non-Debt Current Liabilities</t>
  </si>
  <si>
    <t>Net Working Capital</t>
  </si>
  <si>
    <t>Change in Net Working Capital</t>
  </si>
  <si>
    <t>Days Sales Outstanding (DSO)</t>
  </si>
  <si>
    <t>Inventory Turns</t>
  </si>
  <si>
    <t>Prepaid exp. as % of Revenue</t>
  </si>
  <si>
    <t>Days Payables Outstanding (DPO)</t>
  </si>
  <si>
    <t>Accrued Liabilities as % of COGS</t>
  </si>
  <si>
    <t>PP&amp;E and Intangible Schedule</t>
  </si>
  <si>
    <t>Beginning PP&amp;E Balance</t>
  </si>
  <si>
    <t>Ending PP&amp;E</t>
  </si>
  <si>
    <t>Beginning Intangible Balance</t>
  </si>
  <si>
    <t>Ending Intangible Balance</t>
  </si>
  <si>
    <t>Capex as % of revenue</t>
  </si>
  <si>
    <t>Depreciation as % of capex</t>
  </si>
  <si>
    <t>(Increase) Decrease to Net Working Capital</t>
  </si>
  <si>
    <t>Revolver draw (paydown)</t>
  </si>
  <si>
    <t>Debt issuance</t>
  </si>
  <si>
    <t>Debt paydown</t>
  </si>
  <si>
    <t>Share repurchase</t>
  </si>
  <si>
    <t>Dividends</t>
  </si>
  <si>
    <t>Option proceeds</t>
  </si>
  <si>
    <t>Ending Cash</t>
  </si>
  <si>
    <t>Equity Schedule</t>
  </si>
  <si>
    <t>Stockholder's Equity</t>
  </si>
  <si>
    <t>Beginning balance</t>
  </si>
  <si>
    <t>Net income</t>
  </si>
  <si>
    <t>Ending balance</t>
  </si>
  <si>
    <t>Dividend payout ratio</t>
  </si>
  <si>
    <t>Step</t>
  </si>
  <si>
    <t>Average strike price</t>
  </si>
  <si>
    <t>Debt Paydown &amp; Interest Schedule</t>
  </si>
  <si>
    <t>Cash flow available for financing activities</t>
  </si>
  <si>
    <t>Repurchase of equity</t>
  </si>
  <si>
    <t>Option Proceeds</t>
  </si>
  <si>
    <t>Plus: Beginning cash balance</t>
  </si>
  <si>
    <t>Less: Minimum cash balance</t>
  </si>
  <si>
    <t>Cash available for debt paydown</t>
  </si>
  <si>
    <t>Repayment/Amortization (Operating Lease Payments)</t>
  </si>
  <si>
    <t>Issuance</t>
  </si>
  <si>
    <t>Cash available for revolver</t>
  </si>
  <si>
    <t>Beginning revolver balance</t>
  </si>
  <si>
    <t>Draw (paydown)</t>
  </si>
  <si>
    <t>Ending revolver balance</t>
  </si>
  <si>
    <t>Interest</t>
  </si>
  <si>
    <t>Revolver interest rate</t>
  </si>
  <si>
    <t>Revolver interest expense</t>
  </si>
  <si>
    <t>Long-term debt interest rate</t>
  </si>
  <si>
    <t>Long-term interest expense</t>
  </si>
  <si>
    <t>Total interest expense</t>
  </si>
  <si>
    <t>Average cash balance</t>
  </si>
  <si>
    <t>Cash interest rate</t>
  </si>
  <si>
    <t>Interest income</t>
  </si>
  <si>
    <t>Shares Outstanding</t>
  </si>
  <si>
    <t>Beginning basic shares outstanding</t>
  </si>
  <si>
    <t>New share issuance</t>
  </si>
  <si>
    <t>Shares issued from options</t>
  </si>
  <si>
    <t>Ending basic shares outstanding</t>
  </si>
  <si>
    <t>Effect of dilutive securities</t>
  </si>
  <si>
    <t>Diluted shares outstanding</t>
  </si>
  <si>
    <t>Share Repurchase</t>
  </si>
  <si>
    <t>Projected P/E Multiple</t>
  </si>
  <si>
    <t>Projected share price</t>
  </si>
  <si>
    <t>Total shares repurchased</t>
  </si>
  <si>
    <t>EPS</t>
  </si>
  <si>
    <t>EPS Basic</t>
  </si>
  <si>
    <t>Revenue By Geography</t>
  </si>
  <si>
    <t>United States</t>
  </si>
  <si>
    <t>Taiwan</t>
  </si>
  <si>
    <t>Other Countries</t>
  </si>
  <si>
    <t>Total Revenues</t>
  </si>
  <si>
    <t>Growth Rates</t>
  </si>
  <si>
    <t>Sensitivity Analysis</t>
  </si>
  <si>
    <t>2028 Projected Share Price</t>
  </si>
  <si>
    <t>U.S.
Sales Growth Rate</t>
  </si>
  <si>
    <t>Depreciation Waterfall</t>
  </si>
  <si>
    <t>Average</t>
  </si>
  <si>
    <t>Depreciation of Existing PP&amp;E</t>
  </si>
  <si>
    <t>Depreciation of New Capex</t>
  </si>
  <si>
    <t>Total Depreciation of New Capex</t>
  </si>
  <si>
    <t>Total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</si>
</sst>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;;;"/>
    <numFmt numFmtId="165" formatCode="&quot;$&quot;#,##0.00"/>
    <numFmt numFmtId="166" formatCode="#,##0.0_);\(#,##0.0\)"/>
    <numFmt numFmtId="167" formatCode="m/d/yy;@"/>
    <numFmt numFmtId="168" formatCode="&quot;On&quot;;;&quot;Off&quot;"/>
    <numFmt numFmtId="169" formatCode="&quot;Overdrawn&quot;;;&quot;Compliant&quot;"/>
    <numFmt numFmtId="170" formatCode="#,##0.0%_);\(#,##0.0%\)"/>
    <numFmt numFmtId="171" formatCode="#,##0.0\x_);\(#,##0.0\x\)"/>
    <numFmt numFmtId="172" formatCode="#,##0.00\x_);\(#,##0.00\x\)"/>
    <numFmt numFmtId="173" formatCode="&quot;L + &quot;#_)"/>
    <numFmt numFmtId="174" formatCode="0\ &quot;yrs&quot;"/>
    <numFmt numFmtId="175" formatCode="#,##0.000%_);\(#,##0.000%\)"/>
    <numFmt numFmtId="176" formatCode="#,##0%_);\(#,##0%\)"/>
    <numFmt numFmtId="177" formatCode="0&quot;A&quot;_)"/>
    <numFmt numFmtId="178" formatCode="0&quot;P&quot;_)"/>
    <numFmt numFmtId="179" formatCode="#,##0_);\(#,##0\);\-_)"/>
    <numFmt numFmtId="180" formatCode="yyyy&quot;A&quot;_)"/>
    <numFmt numFmtId="181" formatCode="&quot;Yes&quot;;;&quot;No&quot;"/>
    <numFmt numFmtId="182" formatCode="#,##0.00%_);\(#,##0.00%\)"/>
    <numFmt numFmtId="183" formatCode="yyyy&quot;P&quot;_)"/>
    <numFmt numFmtId="184" formatCode="0_)"/>
    <numFmt numFmtId="185" formatCode="#,##0\x_);\(#,##0\x\)"/>
    <numFmt numFmtId="186" formatCode="yyyy\A"/>
    <numFmt numFmtId="187" formatCode="#,##0;\(#,##0\)"/>
    <numFmt numFmtId="188" formatCode="#,##0;\(#,##0\);0"/>
    <numFmt numFmtId="189" formatCode="#,##0;#,##0"/>
    <numFmt numFmtId="190" formatCode="0.00%;\(0.00%\)"/>
    <numFmt numFmtId="191" formatCode="#,##0.00%;\(#,##0.00%\)"/>
    <numFmt numFmtId="192" formatCode="0.00_);\(0.00\)"/>
    <numFmt numFmtId="193" formatCode="#,##0.00%;\(#,###.00\)%"/>
    <numFmt numFmtId="194" formatCode="#,##0;\(#,##0\);\-"/>
    <numFmt numFmtId="195" formatCode="#,##0;\(#,##0\);0.000"/>
    <numFmt numFmtId="196" formatCode="#,##0.0\x"/>
    <numFmt numFmtId="197" formatCode="#,##0.00%;\(#,##0.00%\);\-"/>
    <numFmt numFmtId="198" formatCode="#,##0.0\x;\(#,##0\x\);0\x"/>
    <numFmt numFmtId="199" formatCode="#,##0.0\x;\(#,##0.0\x\);0\x"/>
    <numFmt numFmtId="200" formatCode="0.0%"/>
    <numFmt numFmtId="201" formatCode="0.0"/>
    <numFmt numFmtId="202" formatCode="#,##0.000_);\(#,##0.000\);#,##0.000"/>
    <numFmt numFmtId="203" formatCode="&quot;$&quot;#,##0.0000000_);\(&quot;$&quot;#,##0.0000000\)"/>
    <numFmt numFmtId="204" formatCode="#,##0.0;\(#,##0.0\);\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5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  <font>
      <u/>
      <sz val="10"/>
      <color theme="1"/>
      <name val="Arial"/>
      <family val="2"/>
    </font>
    <font>
      <sz val="10"/>
      <color rgb="FF008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0"/>
      <name val="Arial"/>
      <family val="2"/>
    </font>
    <font>
      <b/>
      <sz val="1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189E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89ED7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0" borderId="0" xfId="0" applyFont="1"/>
    <xf numFmtId="0" fontId="10" fillId="5" borderId="0" xfId="0" applyFont="1" applyFill="1" applyAlignment="1">
      <alignment horizontal="centerContinuous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166" fontId="13" fillId="0" borderId="0" xfId="0" applyNumberFormat="1" applyFont="1"/>
    <xf numFmtId="7" fontId="13" fillId="0" borderId="0" xfId="0" applyNumberFormat="1" applyFont="1"/>
    <xf numFmtId="166" fontId="8" fillId="0" borderId="0" xfId="0" applyNumberFormat="1" applyFont="1"/>
    <xf numFmtId="167" fontId="13" fillId="0" borderId="0" xfId="0" applyNumberFormat="1" applyFont="1" applyAlignment="1">
      <alignment horizontal="right"/>
    </xf>
    <xf numFmtId="166" fontId="15" fillId="0" borderId="0" xfId="0" applyNumberFormat="1" applyFont="1"/>
    <xf numFmtId="168" fontId="13" fillId="0" borderId="2" xfId="0" applyNumberFormat="1" applyFont="1" applyBorder="1" applyAlignment="1">
      <alignment horizontal="right"/>
    </xf>
    <xf numFmtId="166" fontId="8" fillId="0" borderId="3" xfId="0" applyNumberFormat="1" applyFont="1" applyBorder="1"/>
    <xf numFmtId="169" fontId="8" fillId="0" borderId="0" xfId="0" applyNumberFormat="1" applyFont="1"/>
    <xf numFmtId="170" fontId="8" fillId="0" borderId="0" xfId="0" applyNumberFormat="1" applyFont="1"/>
    <xf numFmtId="171" fontId="8" fillId="0" borderId="0" xfId="0" applyNumberFormat="1" applyFont="1"/>
    <xf numFmtId="5" fontId="16" fillId="0" borderId="0" xfId="0" applyNumberFormat="1" applyFont="1"/>
    <xf numFmtId="171" fontId="16" fillId="0" borderId="0" xfId="0" applyNumberFormat="1" applyFont="1"/>
    <xf numFmtId="0" fontId="17" fillId="0" borderId="0" xfId="0" applyFont="1"/>
    <xf numFmtId="5" fontId="17" fillId="0" borderId="3" xfId="0" applyNumberFormat="1" applyFont="1" applyBorder="1"/>
    <xf numFmtId="0" fontId="8" fillId="0" borderId="0" xfId="0" quotePrefix="1" applyFont="1"/>
    <xf numFmtId="37" fontId="16" fillId="0" borderId="0" xfId="0" applyNumberFormat="1" applyFont="1"/>
    <xf numFmtId="5" fontId="13" fillId="0" borderId="0" xfId="0" applyNumberFormat="1" applyFont="1"/>
    <xf numFmtId="7" fontId="17" fillId="0" borderId="3" xfId="0" applyNumberFormat="1" applyFont="1" applyBorder="1"/>
    <xf numFmtId="170" fontId="12" fillId="0" borderId="0" xfId="0" applyNumberFormat="1" applyFont="1"/>
    <xf numFmtId="0" fontId="10" fillId="0" borderId="0" xfId="0" applyFont="1" applyAlignment="1">
      <alignment horizontal="centerContinuous"/>
    </xf>
    <xf numFmtId="0" fontId="18" fillId="0" borderId="0" xfId="0" applyFont="1" applyAlignment="1">
      <alignment horizontal="right"/>
    </xf>
    <xf numFmtId="0" fontId="18" fillId="0" borderId="0" xfId="0" applyFont="1"/>
    <xf numFmtId="5" fontId="8" fillId="0" borderId="0" xfId="0" applyNumberFormat="1" applyFont="1"/>
    <xf numFmtId="172" fontId="13" fillId="0" borderId="0" xfId="0" applyNumberFormat="1" applyFont="1"/>
    <xf numFmtId="173" fontId="13" fillId="0" borderId="0" xfId="0" applyNumberFormat="1" applyFont="1"/>
    <xf numFmtId="170" fontId="13" fillId="0" borderId="0" xfId="0" applyNumberFormat="1" applyFont="1"/>
    <xf numFmtId="0" fontId="8" fillId="6" borderId="0" xfId="0" applyFont="1" applyFill="1"/>
    <xf numFmtId="174" fontId="13" fillId="0" borderId="0" xfId="0" applyNumberFormat="1" applyFont="1"/>
    <xf numFmtId="10" fontId="13" fillId="0" borderId="0" xfId="0" applyNumberFormat="1" applyFont="1"/>
    <xf numFmtId="37" fontId="8" fillId="0" borderId="0" xfId="0" applyNumberFormat="1" applyFont="1"/>
    <xf numFmtId="175" fontId="13" fillId="0" borderId="0" xfId="0" applyNumberFormat="1" applyFont="1"/>
    <xf numFmtId="172" fontId="17" fillId="0" borderId="0" xfId="0" applyNumberFormat="1" applyFont="1"/>
    <xf numFmtId="0" fontId="19" fillId="0" borderId="0" xfId="0" applyFont="1"/>
    <xf numFmtId="171" fontId="19" fillId="0" borderId="0" xfId="0" applyNumberFormat="1" applyFont="1"/>
    <xf numFmtId="0" fontId="10" fillId="5" borderId="0" xfId="0" applyFont="1" applyFill="1" applyAlignment="1">
      <alignment horizontal="left"/>
    </xf>
    <xf numFmtId="0" fontId="20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Continuous"/>
    </xf>
    <xf numFmtId="172" fontId="8" fillId="0" borderId="0" xfId="0" applyNumberFormat="1" applyFont="1"/>
    <xf numFmtId="176" fontId="19" fillId="0" borderId="3" xfId="0" applyNumberFormat="1" applyFont="1" applyBorder="1"/>
    <xf numFmtId="177" fontId="8" fillId="0" borderId="0" xfId="0" applyNumberFormat="1" applyFont="1"/>
    <xf numFmtId="177" fontId="8" fillId="0" borderId="4" xfId="0" applyNumberFormat="1" applyFont="1" applyBorder="1"/>
    <xf numFmtId="178" fontId="8" fillId="0" borderId="5" xfId="0" applyNumberFormat="1" applyFont="1" applyBorder="1"/>
    <xf numFmtId="0" fontId="16" fillId="0" borderId="0" xfId="0" applyFont="1"/>
    <xf numFmtId="5" fontId="15" fillId="0" borderId="3" xfId="0" applyNumberFormat="1" applyFont="1" applyBorder="1"/>
    <xf numFmtId="5" fontId="15" fillId="0" borderId="6" xfId="0" applyNumberFormat="1" applyFont="1" applyBorder="1"/>
    <xf numFmtId="37" fontId="15" fillId="0" borderId="0" xfId="0" applyNumberFormat="1" applyFont="1"/>
    <xf numFmtId="37" fontId="15" fillId="0" borderId="7" xfId="0" applyNumberFormat="1" applyFont="1" applyBorder="1"/>
    <xf numFmtId="0" fontId="21" fillId="0" borderId="0" xfId="0" applyFont="1"/>
    <xf numFmtId="5" fontId="17" fillId="0" borderId="6" xfId="0" applyNumberFormat="1" applyFont="1" applyBorder="1"/>
    <xf numFmtId="37" fontId="8" fillId="0" borderId="7" xfId="0" applyNumberFormat="1" applyFont="1" applyBorder="1"/>
    <xf numFmtId="5" fontId="8" fillId="0" borderId="3" xfId="0" applyNumberFormat="1" applyFont="1" applyBorder="1"/>
    <xf numFmtId="5" fontId="8" fillId="0" borderId="6" xfId="0" applyNumberFormat="1" applyFont="1" applyBorder="1"/>
    <xf numFmtId="5" fontId="17" fillId="0" borderId="0" xfId="0" applyNumberFormat="1" applyFont="1"/>
    <xf numFmtId="5" fontId="17" fillId="0" borderId="7" xfId="0" applyNumberFormat="1" applyFont="1" applyBorder="1"/>
    <xf numFmtId="0" fontId="22" fillId="0" borderId="0" xfId="0" applyFont="1"/>
    <xf numFmtId="37" fontId="8" fillId="6" borderId="3" xfId="0" applyNumberFormat="1" applyFont="1" applyFill="1" applyBorder="1"/>
    <xf numFmtId="37" fontId="8" fillId="6" borderId="6" xfId="0" applyNumberFormat="1" applyFont="1" applyFill="1" applyBorder="1"/>
    <xf numFmtId="37" fontId="13" fillId="6" borderId="0" xfId="0" applyNumberFormat="1" applyFont="1" applyFill="1"/>
    <xf numFmtId="37" fontId="13" fillId="6" borderId="7" xfId="0" applyNumberFormat="1" applyFont="1" applyFill="1" applyBorder="1"/>
    <xf numFmtId="37" fontId="13" fillId="0" borderId="0" xfId="0" applyNumberFormat="1" applyFont="1"/>
    <xf numFmtId="37" fontId="8" fillId="0" borderId="3" xfId="0" applyNumberFormat="1" applyFont="1" applyBorder="1"/>
    <xf numFmtId="37" fontId="17" fillId="6" borderId="3" xfId="0" applyNumberFormat="1" applyFont="1" applyFill="1" applyBorder="1"/>
    <xf numFmtId="37" fontId="17" fillId="6" borderId="6" xfId="0" applyNumberFormat="1" applyFont="1" applyFill="1" applyBorder="1"/>
    <xf numFmtId="179" fontId="8" fillId="6" borderId="3" xfId="0" applyNumberFormat="1" applyFont="1" applyFill="1" applyBorder="1"/>
    <xf numFmtId="179" fontId="8" fillId="6" borderId="6" xfId="0" applyNumberFormat="1" applyFont="1" applyFill="1" applyBorder="1"/>
    <xf numFmtId="0" fontId="16" fillId="0" borderId="0" xfId="0" quotePrefix="1" applyFont="1"/>
    <xf numFmtId="179" fontId="8" fillId="6" borderId="0" xfId="0" applyNumberFormat="1" applyFont="1" applyFill="1"/>
    <xf numFmtId="179" fontId="8" fillId="6" borderId="7" xfId="0" applyNumberFormat="1" applyFont="1" applyFill="1" applyBorder="1"/>
    <xf numFmtId="0" fontId="23" fillId="0" borderId="0" xfId="0" applyFont="1"/>
    <xf numFmtId="0" fontId="8" fillId="6" borderId="7" xfId="0" applyFont="1" applyFill="1" applyBorder="1"/>
    <xf numFmtId="180" fontId="8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17" fillId="0" borderId="7" xfId="0" applyFont="1" applyBorder="1"/>
    <xf numFmtId="5" fontId="17" fillId="0" borderId="8" xfId="0" applyNumberFormat="1" applyFont="1" applyBorder="1"/>
    <xf numFmtId="5" fontId="8" fillId="0" borderId="2" xfId="0" applyNumberFormat="1" applyFont="1" applyBorder="1"/>
    <xf numFmtId="169" fontId="8" fillId="0" borderId="0" xfId="0" applyNumberFormat="1" applyFont="1" applyAlignment="1">
      <alignment horizontal="right"/>
    </xf>
    <xf numFmtId="170" fontId="13" fillId="0" borderId="2" xfId="0" applyNumberFormat="1" applyFont="1" applyBorder="1"/>
    <xf numFmtId="181" fontId="13" fillId="0" borderId="2" xfId="0" applyNumberFormat="1" applyFont="1" applyBorder="1"/>
    <xf numFmtId="175" fontId="13" fillId="0" borderId="2" xfId="0" applyNumberFormat="1" applyFont="1" applyBorder="1"/>
    <xf numFmtId="175" fontId="16" fillId="0" borderId="2" xfId="0" applyNumberFormat="1" applyFont="1" applyBorder="1"/>
    <xf numFmtId="172" fontId="8" fillId="0" borderId="7" xfId="0" applyNumberFormat="1" applyFont="1" applyBorder="1"/>
    <xf numFmtId="176" fontId="8" fillId="0" borderId="0" xfId="0" applyNumberFormat="1" applyFont="1"/>
    <xf numFmtId="176" fontId="8" fillId="0" borderId="7" xfId="0" applyNumberFormat="1" applyFont="1" applyBorder="1"/>
    <xf numFmtId="5" fontId="8" fillId="0" borderId="7" xfId="0" applyNumberFormat="1" applyFont="1" applyBorder="1"/>
    <xf numFmtId="182" fontId="13" fillId="0" borderId="0" xfId="0" applyNumberFormat="1" applyFont="1"/>
    <xf numFmtId="173" fontId="8" fillId="0" borderId="0" xfId="0" applyNumberFormat="1" applyFont="1"/>
    <xf numFmtId="175" fontId="8" fillId="0" borderId="0" xfId="0" applyNumberFormat="1" applyFont="1"/>
    <xf numFmtId="170" fontId="8" fillId="6" borderId="0" xfId="0" applyNumberFormat="1" applyFont="1" applyFill="1"/>
    <xf numFmtId="174" fontId="8" fillId="0" borderId="0" xfId="0" applyNumberFormat="1" applyFont="1"/>
    <xf numFmtId="0" fontId="8" fillId="0" borderId="9" xfId="0" applyFont="1" applyBorder="1" applyAlignment="1">
      <alignment horizontal="right"/>
    </xf>
    <xf numFmtId="0" fontId="8" fillId="0" borderId="10" xfId="0" quotePrefix="1" applyFont="1" applyBorder="1" applyAlignment="1">
      <alignment horizontal="right"/>
    </xf>
    <xf numFmtId="183" fontId="8" fillId="0" borderId="0" xfId="0" applyNumberFormat="1" applyFont="1"/>
    <xf numFmtId="177" fontId="8" fillId="0" borderId="5" xfId="0" applyNumberFormat="1" applyFont="1" applyBorder="1"/>
    <xf numFmtId="0" fontId="8" fillId="0" borderId="11" xfId="0" applyFont="1" applyBorder="1" applyAlignment="1">
      <alignment horizontal="right"/>
    </xf>
    <xf numFmtId="0" fontId="8" fillId="0" borderId="4" xfId="0" quotePrefix="1" applyFont="1" applyBorder="1" applyAlignment="1">
      <alignment horizontal="right"/>
    </xf>
    <xf numFmtId="0" fontId="17" fillId="0" borderId="0" xfId="0" applyFont="1" applyAlignment="1">
      <alignment vertical="center" wrapText="1"/>
    </xf>
    <xf numFmtId="5" fontId="15" fillId="0" borderId="0" xfId="0" applyNumberFormat="1" applyFont="1"/>
    <xf numFmtId="5" fontId="8" fillId="0" borderId="9" xfId="0" applyNumberFormat="1" applyFont="1" applyBorder="1"/>
    <xf numFmtId="0" fontId="23" fillId="0" borderId="0" xfId="0" quotePrefix="1" applyFont="1"/>
    <xf numFmtId="0" fontId="8" fillId="0" borderId="9" xfId="0" applyFont="1" applyBorder="1"/>
    <xf numFmtId="5" fontId="8" fillId="0" borderId="12" xfId="0" applyNumberFormat="1" applyFont="1" applyBorder="1"/>
    <xf numFmtId="5" fontId="8" fillId="0" borderId="13" xfId="0" applyNumberFormat="1" applyFont="1" applyBorder="1"/>
    <xf numFmtId="37" fontId="8" fillId="0" borderId="9" xfId="0" applyNumberFormat="1" applyFont="1" applyBorder="1"/>
    <xf numFmtId="5" fontId="17" fillId="0" borderId="9" xfId="0" applyNumberFormat="1" applyFont="1" applyBorder="1"/>
    <xf numFmtId="5" fontId="17" fillId="0" borderId="10" xfId="0" applyNumberFormat="1" applyFont="1" applyBorder="1"/>
    <xf numFmtId="0" fontId="17" fillId="0" borderId="0" xfId="0" applyFont="1" applyAlignment="1">
      <alignment horizontal="center" vertical="center" wrapText="1"/>
    </xf>
    <xf numFmtId="5" fontId="21" fillId="0" borderId="3" xfId="0" applyNumberFormat="1" applyFont="1" applyBorder="1"/>
    <xf numFmtId="5" fontId="21" fillId="0" borderId="13" xfId="0" applyNumberFormat="1" applyFont="1" applyBorder="1"/>
    <xf numFmtId="37" fontId="8" fillId="0" borderId="8" xfId="0" applyNumberFormat="1" applyFont="1" applyBorder="1"/>
    <xf numFmtId="176" fontId="13" fillId="0" borderId="2" xfId="0" applyNumberFormat="1" applyFont="1" applyBorder="1"/>
    <xf numFmtId="176" fontId="8" fillId="0" borderId="2" xfId="0" applyNumberFormat="1" applyFont="1" applyBorder="1"/>
    <xf numFmtId="184" fontId="13" fillId="0" borderId="2" xfId="0" applyNumberFormat="1" applyFont="1" applyBorder="1"/>
    <xf numFmtId="0" fontId="1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84" fontId="13" fillId="0" borderId="14" xfId="0" applyNumberFormat="1" applyFont="1" applyBorder="1"/>
    <xf numFmtId="176" fontId="13" fillId="0" borderId="7" xfId="0" applyNumberFormat="1" applyFont="1" applyBorder="1"/>
    <xf numFmtId="181" fontId="13" fillId="0" borderId="2" xfId="0" applyNumberFormat="1" applyFont="1" applyBorder="1" applyAlignment="1">
      <alignment horizontal="right"/>
    </xf>
    <xf numFmtId="174" fontId="15" fillId="0" borderId="2" xfId="0" applyNumberFormat="1" applyFont="1" applyBorder="1"/>
    <xf numFmtId="37" fontId="8" fillId="0" borderId="5" xfId="0" applyNumberFormat="1" applyFont="1" applyBorder="1"/>
    <xf numFmtId="0" fontId="8" fillId="0" borderId="15" xfId="0" applyFont="1" applyBorder="1"/>
    <xf numFmtId="37" fontId="8" fillId="0" borderId="15" xfId="0" applyNumberFormat="1" applyFont="1" applyBorder="1"/>
    <xf numFmtId="0" fontId="8" fillId="0" borderId="3" xfId="0" applyFont="1" applyBorder="1"/>
    <xf numFmtId="7" fontId="8" fillId="0" borderId="0" xfId="0" applyNumberFormat="1" applyFont="1"/>
    <xf numFmtId="0" fontId="8" fillId="0" borderId="0" xfId="0" applyFont="1" applyAlignment="1">
      <alignment horizontal="left"/>
    </xf>
    <xf numFmtId="7" fontId="13" fillId="0" borderId="2" xfId="0" applyNumberFormat="1" applyFont="1" applyBorder="1"/>
    <xf numFmtId="0" fontId="17" fillId="0" borderId="14" xfId="0" applyFont="1" applyBorder="1" applyAlignment="1">
      <alignment horizontal="centerContinuous"/>
    </xf>
    <xf numFmtId="0" fontId="8" fillId="0" borderId="16" xfId="0" applyFont="1" applyBorder="1" applyAlignment="1">
      <alignment horizontal="centerContinuous"/>
    </xf>
    <xf numFmtId="0" fontId="17" fillId="0" borderId="2" xfId="0" applyFont="1" applyBorder="1" applyAlignment="1">
      <alignment horizontal="center"/>
    </xf>
    <xf numFmtId="166" fontId="8" fillId="0" borderId="8" xfId="0" applyNumberFormat="1" applyFont="1" applyBorder="1"/>
    <xf numFmtId="176" fontId="8" fillId="0" borderId="6" xfId="0" applyNumberFormat="1" applyFont="1" applyBorder="1"/>
    <xf numFmtId="166" fontId="8" fillId="0" borderId="17" xfId="0" applyNumberFormat="1" applyFont="1" applyBorder="1"/>
    <xf numFmtId="166" fontId="13" fillId="0" borderId="17" xfId="0" applyNumberFormat="1" applyFont="1" applyBorder="1"/>
    <xf numFmtId="178" fontId="8" fillId="0" borderId="0" xfId="0" applyNumberFormat="1" applyFont="1"/>
    <xf numFmtId="0" fontId="19" fillId="0" borderId="8" xfId="0" applyFont="1" applyBorder="1"/>
    <xf numFmtId="0" fontId="19" fillId="0" borderId="18" xfId="0" applyFont="1" applyBorder="1"/>
    <xf numFmtId="0" fontId="8" fillId="0" borderId="5" xfId="0" applyFont="1" applyBorder="1"/>
    <xf numFmtId="0" fontId="17" fillId="0" borderId="15" xfId="0" applyFont="1" applyBorder="1" applyAlignment="1">
      <alignment horizontal="centerContinuous"/>
    </xf>
    <xf numFmtId="0" fontId="8" fillId="0" borderId="15" xfId="0" applyFont="1" applyBorder="1" applyAlignment="1">
      <alignment horizontal="centerContinuous"/>
    </xf>
    <xf numFmtId="185" fontId="16" fillId="0" borderId="15" xfId="0" applyNumberFormat="1" applyFont="1" applyBorder="1" applyAlignment="1">
      <alignment horizontal="center"/>
    </xf>
    <xf numFmtId="7" fontId="8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/>
    </xf>
    <xf numFmtId="164" fontId="8" fillId="0" borderId="0" xfId="0" applyNumberFormat="1" applyFont="1"/>
    <xf numFmtId="185" fontId="13" fillId="0" borderId="15" xfId="0" applyNumberFormat="1" applyFont="1" applyBorder="1" applyAlignment="1">
      <alignment horizontal="center"/>
    </xf>
    <xf numFmtId="172" fontId="13" fillId="0" borderId="7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2" fontId="8" fillId="0" borderId="7" xfId="0" applyNumberFormat="1" applyFont="1" applyBorder="1" applyAlignment="1">
      <alignment horizontal="center"/>
    </xf>
    <xf numFmtId="185" fontId="16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6" fillId="7" borderId="0" xfId="0" applyFont="1" applyFill="1" applyAlignment="1">
      <alignment horizontal="centerContinuous"/>
    </xf>
    <xf numFmtId="0" fontId="0" fillId="7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3" applyFont="1"/>
    <xf numFmtId="0" fontId="28" fillId="2" borderId="1" xfId="1" applyFont="1" applyAlignment="1">
      <alignment horizontal="center"/>
    </xf>
    <xf numFmtId="14" fontId="29" fillId="2" borderId="1" xfId="1" applyNumberFormat="1" applyFont="1" applyAlignment="1">
      <alignment horizontal="center"/>
    </xf>
    <xf numFmtId="0" fontId="28" fillId="0" borderId="0" xfId="0" applyFont="1"/>
    <xf numFmtId="0" fontId="30" fillId="7" borderId="0" xfId="0" applyFont="1" applyFill="1" applyAlignment="1">
      <alignment horizontal="centerContinuous"/>
    </xf>
    <xf numFmtId="0" fontId="31" fillId="7" borderId="0" xfId="0" applyFont="1" applyFill="1" applyAlignment="1">
      <alignment horizontal="centerContinuous"/>
    </xf>
    <xf numFmtId="0" fontId="31" fillId="0" borderId="0" xfId="0" applyFont="1" applyAlignment="1">
      <alignment horizontal="centerContinuous"/>
    </xf>
    <xf numFmtId="186" fontId="0" fillId="0" borderId="5" xfId="0" applyNumberFormat="1" applyBorder="1"/>
    <xf numFmtId="186" fontId="0" fillId="0" borderId="4" xfId="0" applyNumberFormat="1" applyBorder="1"/>
    <xf numFmtId="186" fontId="0" fillId="0" borderId="0" xfId="0" applyNumberFormat="1"/>
    <xf numFmtId="187" fontId="28" fillId="0" borderId="0" xfId="0" applyNumberFormat="1" applyFont="1"/>
    <xf numFmtId="187" fontId="28" fillId="0" borderId="3" xfId="0" applyNumberFormat="1" applyFont="1" applyBorder="1"/>
    <xf numFmtId="187" fontId="28" fillId="0" borderId="7" xfId="0" applyNumberFormat="1" applyFont="1" applyBorder="1"/>
    <xf numFmtId="188" fontId="0" fillId="0" borderId="0" xfId="0" applyNumberFormat="1"/>
    <xf numFmtId="189" fontId="0" fillId="0" borderId="0" xfId="0" applyNumberFormat="1"/>
    <xf numFmtId="0" fontId="0" fillId="0" borderId="0" xfId="0" applyAlignment="1">
      <alignment horizontal="left" indent="2"/>
    </xf>
    <xf numFmtId="190" fontId="28" fillId="0" borderId="0" xfId="0" applyNumberFormat="1" applyFont="1"/>
    <xf numFmtId="190" fontId="0" fillId="0" borderId="0" xfId="0" applyNumberFormat="1"/>
    <xf numFmtId="190" fontId="0" fillId="0" borderId="7" xfId="0" applyNumberFormat="1" applyBorder="1"/>
    <xf numFmtId="187" fontId="28" fillId="0" borderId="5" xfId="0" applyNumberFormat="1" applyFont="1" applyBorder="1"/>
    <xf numFmtId="187" fontId="28" fillId="0" borderId="4" xfId="0" applyNumberFormat="1" applyFont="1" applyBorder="1"/>
    <xf numFmtId="188" fontId="0" fillId="0" borderId="5" xfId="0" applyNumberFormat="1" applyBorder="1"/>
    <xf numFmtId="0" fontId="6" fillId="0" borderId="0" xfId="0" applyFont="1"/>
    <xf numFmtId="187" fontId="6" fillId="0" borderId="0" xfId="0" applyNumberFormat="1" applyFont="1"/>
    <xf numFmtId="187" fontId="6" fillId="0" borderId="6" xfId="0" applyNumberFormat="1" applyFont="1" applyBorder="1"/>
    <xf numFmtId="188" fontId="6" fillId="0" borderId="0" xfId="0" applyNumberFormat="1" applyFont="1"/>
    <xf numFmtId="191" fontId="0" fillId="0" borderId="0" xfId="0" applyNumberFormat="1"/>
    <xf numFmtId="191" fontId="0" fillId="0" borderId="7" xfId="0" applyNumberFormat="1" applyBorder="1"/>
    <xf numFmtId="0" fontId="0" fillId="0" borderId="7" xfId="0" applyBorder="1"/>
    <xf numFmtId="3" fontId="28" fillId="0" borderId="0" xfId="0" applyNumberFormat="1" applyFont="1"/>
    <xf numFmtId="3" fontId="28" fillId="0" borderId="7" xfId="0" applyNumberFormat="1" applyFont="1" applyBorder="1"/>
    <xf numFmtId="187" fontId="6" fillId="0" borderId="3" xfId="0" applyNumberFormat="1" applyFont="1" applyBorder="1"/>
    <xf numFmtId="188" fontId="6" fillId="0" borderId="3" xfId="0" applyNumberFormat="1" applyFont="1" applyBorder="1"/>
    <xf numFmtId="187" fontId="6" fillId="0" borderId="0" xfId="2" applyNumberFormat="1" applyFont="1" applyFill="1" applyBorder="1"/>
    <xf numFmtId="187" fontId="6" fillId="0" borderId="7" xfId="2" applyNumberFormat="1" applyFont="1" applyFill="1" applyBorder="1"/>
    <xf numFmtId="188" fontId="6" fillId="0" borderId="0" xfId="2" applyNumberFormat="1" applyFont="1" applyFill="1" applyBorder="1"/>
    <xf numFmtId="0" fontId="32" fillId="0" borderId="0" xfId="0" applyFont="1"/>
    <xf numFmtId="187" fontId="0" fillId="0" borderId="0" xfId="0" applyNumberFormat="1"/>
    <xf numFmtId="187" fontId="0" fillId="0" borderId="7" xfId="0" applyNumberFormat="1" applyBorder="1"/>
    <xf numFmtId="187" fontId="6" fillId="0" borderId="8" xfId="0" applyNumberFormat="1" applyFont="1" applyBorder="1"/>
    <xf numFmtId="192" fontId="28" fillId="0" borderId="7" xfId="0" applyNumberFormat="1" applyFont="1" applyBorder="1"/>
    <xf numFmtId="191" fontId="0" fillId="0" borderId="4" xfId="0" applyNumberFormat="1" applyBorder="1"/>
    <xf numFmtId="44" fontId="6" fillId="3" borderId="2" xfId="2" applyNumberFormat="1" applyFont="1" applyBorder="1"/>
    <xf numFmtId="44" fontId="6" fillId="3" borderId="16" xfId="2" applyNumberFormat="1" applyFont="1" applyBorder="1"/>
    <xf numFmtId="0" fontId="0" fillId="6" borderId="0" xfId="0" applyFill="1"/>
    <xf numFmtId="191" fontId="6" fillId="0" borderId="0" xfId="4" applyNumberFormat="1" applyFont="1" applyFill="1" applyBorder="1"/>
    <xf numFmtId="0" fontId="0" fillId="6" borderId="7" xfId="0" applyFill="1" applyBorder="1"/>
    <xf numFmtId="193" fontId="28" fillId="2" borderId="2" xfId="1" applyNumberFormat="1" applyFont="1" applyBorder="1" applyAlignment="1">
      <alignment horizontal="center"/>
    </xf>
    <xf numFmtId="191" fontId="0" fillId="0" borderId="0" xfId="0" applyNumberFormat="1" applyAlignment="1">
      <alignment horizontal="center"/>
    </xf>
    <xf numFmtId="191" fontId="0" fillId="6" borderId="0" xfId="0" applyNumberFormat="1" applyFill="1"/>
    <xf numFmtId="191" fontId="0" fillId="6" borderId="7" xfId="0" applyNumberFormat="1" applyFill="1" applyBorder="1"/>
    <xf numFmtId="193" fontId="28" fillId="2" borderId="16" xfId="1" applyNumberFormat="1" applyFont="1" applyBorder="1" applyAlignment="1">
      <alignment horizontal="center"/>
    </xf>
    <xf numFmtId="191" fontId="28" fillId="0" borderId="0" xfId="0" applyNumberFormat="1" applyFont="1" applyAlignment="1">
      <alignment horizontal="center"/>
    </xf>
    <xf numFmtId="188" fontId="0" fillId="0" borderId="7" xfId="0" applyNumberFormat="1" applyBorder="1"/>
    <xf numFmtId="194" fontId="0" fillId="0" borderId="0" xfId="0" applyNumberFormat="1"/>
    <xf numFmtId="0" fontId="0" fillId="0" borderId="0" xfId="0" applyAlignment="1">
      <alignment horizontal="left" indent="1"/>
    </xf>
    <xf numFmtId="188" fontId="28" fillId="0" borderId="0" xfId="0" applyNumberFormat="1" applyFont="1"/>
    <xf numFmtId="188" fontId="28" fillId="0" borderId="7" xfId="0" applyNumberFormat="1" applyFont="1" applyBorder="1"/>
    <xf numFmtId="188" fontId="6" fillId="0" borderId="6" xfId="0" applyNumberFormat="1" applyFont="1" applyBorder="1"/>
    <xf numFmtId="188" fontId="28" fillId="0" borderId="0" xfId="0" applyNumberFormat="1" applyFont="1" applyAlignment="1">
      <alignment vertical="top"/>
    </xf>
    <xf numFmtId="188" fontId="28" fillId="0" borderId="7" xfId="0" applyNumberFormat="1" applyFont="1" applyBorder="1" applyAlignment="1">
      <alignment vertical="top"/>
    </xf>
    <xf numFmtId="0" fontId="33" fillId="0" borderId="0" xfId="0" applyFont="1" applyAlignment="1">
      <alignment vertical="top"/>
    </xf>
    <xf numFmtId="0" fontId="34" fillId="0" borderId="0" xfId="0" applyFont="1" applyAlignment="1">
      <alignment vertical="top"/>
    </xf>
    <xf numFmtId="188" fontId="34" fillId="0" borderId="3" xfId="0" applyNumberFormat="1" applyFont="1" applyBorder="1" applyAlignment="1">
      <alignment vertical="top"/>
    </xf>
    <xf numFmtId="188" fontId="34" fillId="0" borderId="6" xfId="0" applyNumberFormat="1" applyFont="1" applyBorder="1" applyAlignment="1">
      <alignment vertical="top"/>
    </xf>
    <xf numFmtId="0" fontId="35" fillId="0" borderId="0" xfId="0" applyFont="1" applyAlignment="1">
      <alignment vertical="top"/>
    </xf>
    <xf numFmtId="188" fontId="6" fillId="0" borderId="15" xfId="0" applyNumberFormat="1" applyFont="1" applyBorder="1"/>
    <xf numFmtId="188" fontId="6" fillId="0" borderId="16" xfId="0" applyNumberFormat="1" applyFont="1" applyBorder="1"/>
    <xf numFmtId="194" fontId="6" fillId="0" borderId="15" xfId="0" applyNumberFormat="1" applyFont="1" applyBorder="1"/>
    <xf numFmtId="194" fontId="6" fillId="0" borderId="3" xfId="0" applyNumberFormat="1" applyFont="1" applyBorder="1"/>
    <xf numFmtId="195" fontId="6" fillId="8" borderId="0" xfId="0" applyNumberFormat="1" applyFont="1" applyFill="1"/>
    <xf numFmtId="195" fontId="6" fillId="8" borderId="7" xfId="0" applyNumberFormat="1" applyFont="1" applyFill="1" applyBorder="1"/>
    <xf numFmtId="194" fontId="7" fillId="7" borderId="0" xfId="0" applyNumberFormat="1" applyFont="1" applyFill="1" applyAlignment="1">
      <alignment horizontal="centerContinuous"/>
    </xf>
    <xf numFmtId="0" fontId="7" fillId="7" borderId="0" xfId="0" applyFont="1" applyFill="1" applyAlignment="1">
      <alignment horizontal="centerContinuous"/>
    </xf>
    <xf numFmtId="0" fontId="33" fillId="0" borderId="0" xfId="0" applyFont="1"/>
    <xf numFmtId="194" fontId="0" fillId="0" borderId="7" xfId="0" applyNumberFormat="1" applyBorder="1"/>
    <xf numFmtId="194" fontId="0" fillId="0" borderId="4" xfId="0" applyNumberFormat="1" applyBorder="1"/>
    <xf numFmtId="194" fontId="0" fillId="0" borderId="3" xfId="0" applyNumberFormat="1" applyBorder="1"/>
    <xf numFmtId="194" fontId="0" fillId="0" borderId="6" xfId="0" applyNumberFormat="1" applyBorder="1"/>
    <xf numFmtId="0" fontId="34" fillId="0" borderId="0" xfId="0" applyFont="1"/>
    <xf numFmtId="0" fontId="0" fillId="6" borderId="3" xfId="0" applyFill="1" applyBorder="1"/>
    <xf numFmtId="194" fontId="6" fillId="0" borderId="6" xfId="0" applyNumberFormat="1" applyFont="1" applyBorder="1"/>
    <xf numFmtId="0" fontId="35" fillId="0" borderId="0" xfId="0" applyFont="1"/>
    <xf numFmtId="1" fontId="0" fillId="0" borderId="0" xfId="0" applyNumberFormat="1"/>
    <xf numFmtId="1" fontId="0" fillId="0" borderId="7" xfId="0" applyNumberFormat="1" applyBorder="1"/>
    <xf numFmtId="1" fontId="28" fillId="0" borderId="0" xfId="0" applyNumberFormat="1" applyFont="1"/>
    <xf numFmtId="196" fontId="0" fillId="0" borderId="0" xfId="0" applyNumberFormat="1"/>
    <xf numFmtId="196" fontId="0" fillId="0" borderId="7" xfId="0" applyNumberFormat="1" applyBorder="1"/>
    <xf numFmtId="196" fontId="28" fillId="0" borderId="0" xfId="0" applyNumberFormat="1" applyFont="1"/>
    <xf numFmtId="10" fontId="0" fillId="0" borderId="0" xfId="0" applyNumberFormat="1"/>
    <xf numFmtId="10" fontId="0" fillId="0" borderId="7" xfId="0" applyNumberFormat="1" applyBorder="1"/>
    <xf numFmtId="10" fontId="28" fillId="0" borderId="0" xfId="0" applyNumberFormat="1" applyFont="1"/>
    <xf numFmtId="194" fontId="0" fillId="6" borderId="0" xfId="0" applyNumberFormat="1" applyFill="1"/>
    <xf numFmtId="194" fontId="0" fillId="6" borderId="3" xfId="0" applyNumberFormat="1" applyFill="1" applyBorder="1"/>
    <xf numFmtId="197" fontId="0" fillId="0" borderId="7" xfId="0" applyNumberFormat="1" applyBorder="1"/>
    <xf numFmtId="197" fontId="28" fillId="0" borderId="0" xfId="0" applyNumberFormat="1" applyFont="1"/>
    <xf numFmtId="197" fontId="28" fillId="6" borderId="0" xfId="0" applyNumberFormat="1" applyFont="1" applyFill="1"/>
    <xf numFmtId="194" fontId="0" fillId="6" borderId="6" xfId="0" applyNumberFormat="1" applyFill="1" applyBorder="1"/>
    <xf numFmtId="188" fontId="33" fillId="0" borderId="0" xfId="0" applyNumberFormat="1" applyFont="1" applyAlignment="1">
      <alignment vertical="top"/>
    </xf>
    <xf numFmtId="194" fontId="33" fillId="6" borderId="0" xfId="0" applyNumberFormat="1" applyFont="1" applyFill="1" applyAlignment="1">
      <alignment vertical="top"/>
    </xf>
    <xf numFmtId="194" fontId="33" fillId="6" borderId="7" xfId="0" applyNumberFormat="1" applyFont="1" applyFill="1" applyBorder="1" applyAlignment="1">
      <alignment vertical="top"/>
    </xf>
    <xf numFmtId="194" fontId="0" fillId="6" borderId="7" xfId="0" applyNumberFormat="1" applyFill="1" applyBorder="1"/>
    <xf numFmtId="194" fontId="33" fillId="6" borderId="3" xfId="0" applyNumberFormat="1" applyFont="1" applyFill="1" applyBorder="1" applyAlignment="1">
      <alignment vertical="top"/>
    </xf>
    <xf numFmtId="194" fontId="33" fillId="6" borderId="6" xfId="0" applyNumberFormat="1" applyFont="1" applyFill="1" applyBorder="1" applyAlignment="1">
      <alignment vertical="top"/>
    </xf>
    <xf numFmtId="188" fontId="6" fillId="0" borderId="8" xfId="0" applyNumberFormat="1" applyFont="1" applyBorder="1"/>
    <xf numFmtId="188" fontId="0" fillId="0" borderId="8" xfId="0" applyNumberFormat="1" applyBorder="1"/>
    <xf numFmtId="188" fontId="0" fillId="0" borderId="3" xfId="0" applyNumberFormat="1" applyBorder="1"/>
    <xf numFmtId="194" fontId="28" fillId="6" borderId="0" xfId="0" applyNumberFormat="1" applyFont="1" applyFill="1"/>
    <xf numFmtId="194" fontId="28" fillId="6" borderId="7" xfId="0" applyNumberFormat="1" applyFont="1" applyFill="1" applyBorder="1"/>
    <xf numFmtId="194" fontId="28" fillId="6" borderId="3" xfId="0" applyNumberFormat="1" applyFont="1" applyFill="1" applyBorder="1" applyAlignment="1">
      <alignment vertical="top"/>
    </xf>
    <xf numFmtId="194" fontId="28" fillId="6" borderId="6" xfId="0" applyNumberFormat="1" applyFont="1" applyFill="1" applyBorder="1" applyAlignment="1">
      <alignment vertical="top"/>
    </xf>
    <xf numFmtId="194" fontId="33" fillId="0" borderId="0" xfId="0" applyNumberFormat="1" applyFont="1" applyAlignment="1">
      <alignment vertical="top"/>
    </xf>
    <xf numFmtId="0" fontId="30" fillId="7" borderId="0" xfId="0" applyFont="1" applyFill="1" applyAlignment="1">
      <alignment horizontal="centerContinuous" vertical="top"/>
    </xf>
    <xf numFmtId="194" fontId="33" fillId="7" borderId="0" xfId="0" applyNumberFormat="1" applyFont="1" applyFill="1" applyAlignment="1">
      <alignment horizontal="centerContinuous" vertical="top"/>
    </xf>
    <xf numFmtId="194" fontId="0" fillId="7" borderId="0" xfId="0" applyNumberFormat="1" applyFill="1" applyAlignment="1">
      <alignment horizontal="centerContinuous"/>
    </xf>
    <xf numFmtId="0" fontId="36" fillId="0" borderId="0" xfId="0" applyFont="1"/>
    <xf numFmtId="194" fontId="33" fillId="0" borderId="7" xfId="0" applyNumberFormat="1" applyFont="1" applyBorder="1" applyAlignment="1">
      <alignment vertical="top"/>
    </xf>
    <xf numFmtId="197" fontId="33" fillId="0" borderId="0" xfId="0" applyNumberFormat="1" applyFont="1" applyAlignment="1">
      <alignment vertical="top"/>
    </xf>
    <xf numFmtId="197" fontId="33" fillId="0" borderId="7" xfId="0" applyNumberFormat="1" applyFont="1" applyBorder="1" applyAlignment="1">
      <alignment vertical="top"/>
    </xf>
    <xf numFmtId="194" fontId="28" fillId="0" borderId="0" xfId="0" applyNumberFormat="1" applyFont="1" applyAlignment="1">
      <alignment vertical="top"/>
    </xf>
    <xf numFmtId="194" fontId="28" fillId="0" borderId="7" xfId="0" applyNumberFormat="1" applyFont="1" applyBorder="1" applyAlignment="1">
      <alignment vertical="top"/>
    </xf>
    <xf numFmtId="188" fontId="33" fillId="0" borderId="7" xfId="0" applyNumberFormat="1" applyFont="1" applyBorder="1" applyAlignment="1">
      <alignment vertical="top"/>
    </xf>
    <xf numFmtId="44" fontId="28" fillId="0" borderId="2" xfId="0" applyNumberFormat="1" applyFont="1" applyBorder="1" applyAlignment="1">
      <alignment horizontal="center"/>
    </xf>
    <xf numFmtId="0" fontId="33" fillId="0" borderId="0" xfId="0" applyFont="1" applyAlignment="1">
      <alignment horizontal="left" indent="1"/>
    </xf>
    <xf numFmtId="0" fontId="0" fillId="6" borderId="6" xfId="0" applyFill="1" applyBorder="1"/>
    <xf numFmtId="188" fontId="28" fillId="0" borderId="3" xfId="0" applyNumberFormat="1" applyFont="1" applyBorder="1"/>
    <xf numFmtId="188" fontId="28" fillId="0" borderId="6" xfId="0" applyNumberFormat="1" applyFont="1" applyBorder="1"/>
    <xf numFmtId="188" fontId="0" fillId="0" borderId="4" xfId="0" applyNumberFormat="1" applyBorder="1"/>
    <xf numFmtId="188" fontId="0" fillId="0" borderId="6" xfId="0" applyNumberFormat="1" applyBorder="1"/>
    <xf numFmtId="0" fontId="28" fillId="0" borderId="7" xfId="0" applyFont="1" applyBorder="1"/>
    <xf numFmtId="0" fontId="37" fillId="0" borderId="0" xfId="0" applyFont="1"/>
    <xf numFmtId="198" fontId="28" fillId="0" borderId="0" xfId="0" applyNumberFormat="1" applyFont="1"/>
    <xf numFmtId="198" fontId="28" fillId="0" borderId="7" xfId="0" applyNumberFormat="1" applyFont="1" applyBorder="1"/>
    <xf numFmtId="199" fontId="28" fillId="0" borderId="0" xfId="0" applyNumberFormat="1" applyFont="1"/>
    <xf numFmtId="199" fontId="0" fillId="0" borderId="0" xfId="0" applyNumberFormat="1"/>
    <xf numFmtId="44" fontId="0" fillId="0" borderId="0" xfId="0" applyNumberFormat="1"/>
    <xf numFmtId="0" fontId="28" fillId="0" borderId="3" xfId="0" applyFont="1" applyBorder="1"/>
    <xf numFmtId="0" fontId="28" fillId="0" borderId="6" xfId="0" applyFont="1" applyBorder="1"/>
    <xf numFmtId="44" fontId="6" fillId="0" borderId="3" xfId="0" applyNumberFormat="1" applyFont="1" applyBorder="1"/>
    <xf numFmtId="44" fontId="6" fillId="0" borderId="6" xfId="0" applyNumberFormat="1" applyFont="1" applyBorder="1"/>
    <xf numFmtId="44" fontId="6" fillId="0" borderId="0" xfId="0" applyNumberFormat="1" applyFont="1"/>
    <xf numFmtId="44" fontId="6" fillId="0" borderId="7" xfId="0" applyNumberFormat="1" applyFont="1" applyBorder="1"/>
    <xf numFmtId="0" fontId="6" fillId="0" borderId="0" xfId="0" applyFont="1" applyAlignment="1">
      <alignment horizontal="centerContinuous"/>
    </xf>
    <xf numFmtId="0" fontId="0" fillId="0" borderId="20" xfId="0" applyBorder="1" applyAlignment="1">
      <alignment horizontal="centerContinuous"/>
    </xf>
    <xf numFmtId="165" fontId="4" fillId="0" borderId="21" xfId="0" applyNumberFormat="1" applyFont="1" applyBorder="1" applyAlignment="1">
      <alignment horizontal="center"/>
    </xf>
    <xf numFmtId="200" fontId="28" fillId="0" borderId="22" xfId="0" applyNumberFormat="1" applyFont="1" applyBorder="1" applyAlignment="1">
      <alignment horizontal="center"/>
    </xf>
    <xf numFmtId="200" fontId="28" fillId="0" borderId="23" xfId="0" applyNumberFormat="1" applyFont="1" applyBorder="1" applyAlignment="1">
      <alignment horizontal="center"/>
    </xf>
    <xf numFmtId="200" fontId="28" fillId="0" borderId="24" xfId="0" applyNumberFormat="1" applyFont="1" applyBorder="1" applyAlignment="1">
      <alignment horizontal="center"/>
    </xf>
    <xf numFmtId="200" fontId="28" fillId="0" borderId="25" xfId="0" applyNumberFormat="1" applyFont="1" applyBorder="1" applyAlignment="1">
      <alignment horizontal="center"/>
    </xf>
    <xf numFmtId="165" fontId="0" fillId="0" borderId="26" xfId="0" applyNumberFormat="1" applyBorder="1" applyAlignment="1">
      <alignment horizontal="right" indent="2"/>
    </xf>
    <xf numFmtId="165" fontId="0" fillId="0" borderId="27" xfId="0" applyNumberFormat="1" applyBorder="1" applyAlignment="1">
      <alignment horizontal="right" indent="2"/>
    </xf>
    <xf numFmtId="165" fontId="0" fillId="0" borderId="28" xfId="0" applyNumberFormat="1" applyBorder="1" applyAlignment="1">
      <alignment horizontal="right" indent="2"/>
    </xf>
    <xf numFmtId="200" fontId="28" fillId="0" borderId="29" xfId="0" applyNumberFormat="1" applyFont="1" applyBorder="1" applyAlignment="1">
      <alignment horizontal="center"/>
    </xf>
    <xf numFmtId="4" fontId="0" fillId="0" borderId="30" xfId="0" applyNumberFormat="1" applyBorder="1" applyAlignment="1">
      <alignment horizontal="right" indent="2"/>
    </xf>
    <xf numFmtId="4" fontId="0" fillId="0" borderId="2" xfId="0" applyNumberFormat="1" applyBorder="1" applyAlignment="1">
      <alignment horizontal="right" indent="2"/>
    </xf>
    <xf numFmtId="4" fontId="0" fillId="0" borderId="31" xfId="0" applyNumberFormat="1" applyBorder="1" applyAlignment="1">
      <alignment horizontal="right" indent="2"/>
    </xf>
    <xf numFmtId="200" fontId="28" fillId="0" borderId="32" xfId="0" applyNumberFormat="1" applyFont="1" applyBorder="1" applyAlignment="1">
      <alignment horizontal="center"/>
    </xf>
    <xf numFmtId="4" fontId="0" fillId="0" borderId="33" xfId="0" applyNumberFormat="1" applyBorder="1" applyAlignment="1">
      <alignment horizontal="right" indent="2"/>
    </xf>
    <xf numFmtId="4" fontId="0" fillId="0" borderId="34" xfId="0" applyNumberFormat="1" applyBorder="1" applyAlignment="1">
      <alignment horizontal="right" indent="2"/>
    </xf>
    <xf numFmtId="4" fontId="0" fillId="0" borderId="35" xfId="0" applyNumberFormat="1" applyBorder="1" applyAlignment="1">
      <alignment horizontal="right" indent="2"/>
    </xf>
    <xf numFmtId="201" fontId="28" fillId="0" borderId="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202" fontId="8" fillId="0" borderId="0" xfId="0" applyNumberFormat="1" applyFont="1"/>
    <xf numFmtId="203" fontId="8" fillId="0" borderId="0" xfId="0" applyNumberFormat="1" applyFont="1"/>
    <xf numFmtId="171" fontId="13" fillId="9" borderId="0" xfId="0" applyNumberFormat="1" applyFont="1" applyFill="1" applyAlignment="1">
      <alignment horizontal="center"/>
    </xf>
    <xf numFmtId="171" fontId="16" fillId="9" borderId="0" xfId="0" applyNumberFormat="1" applyFont="1" applyFill="1" applyAlignment="1">
      <alignment horizontal="center"/>
    </xf>
    <xf numFmtId="178" fontId="8" fillId="0" borderId="5" xfId="0" applyNumberFormat="1" applyFont="1" applyBorder="1" applyAlignment="1">
      <alignment horizontal="center"/>
    </xf>
    <xf numFmtId="178" fontId="8" fillId="0" borderId="5" xfId="0" applyNumberFormat="1" applyFont="1" applyBorder="1" applyAlignment="1">
      <alignment horizontal="right"/>
    </xf>
    <xf numFmtId="5" fontId="15" fillId="0" borderId="3" xfId="0" applyNumberFormat="1" applyFont="1" applyBorder="1" applyAlignment="1">
      <alignment horizontal="center"/>
    </xf>
    <xf numFmtId="37" fontId="15" fillId="0" borderId="0" xfId="0" applyNumberFormat="1" applyFont="1" applyAlignment="1">
      <alignment horizontal="center"/>
    </xf>
    <xf numFmtId="5" fontId="17" fillId="0" borderId="3" xfId="0" applyNumberFormat="1" applyFont="1" applyBorder="1" applyAlignment="1">
      <alignment horizontal="center"/>
    </xf>
    <xf numFmtId="5" fontId="8" fillId="0" borderId="3" xfId="0" applyNumberFormat="1" applyFont="1" applyBorder="1" applyAlignment="1">
      <alignment horizontal="center"/>
    </xf>
    <xf numFmtId="5" fontId="17" fillId="0" borderId="0" xfId="0" applyNumberFormat="1" applyFont="1" applyAlignment="1">
      <alignment horizontal="center"/>
    </xf>
    <xf numFmtId="37" fontId="8" fillId="0" borderId="3" xfId="0" applyNumberFormat="1" applyFont="1" applyBorder="1" applyAlignment="1">
      <alignment horizontal="center"/>
    </xf>
    <xf numFmtId="37" fontId="16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9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5" fontId="8" fillId="0" borderId="0" xfId="0" applyNumberFormat="1" applyFont="1" applyAlignment="1">
      <alignment horizontal="center"/>
    </xf>
    <xf numFmtId="182" fontId="13" fillId="0" borderId="0" xfId="0" applyNumberFormat="1" applyFont="1" applyAlignment="1">
      <alignment horizontal="center"/>
    </xf>
    <xf numFmtId="5" fontId="16" fillId="0" borderId="0" xfId="0" applyNumberFormat="1" applyFont="1" applyAlignment="1">
      <alignment horizontal="center"/>
    </xf>
    <xf numFmtId="5" fontId="21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8" fontId="8" fillId="0" borderId="0" xfId="0" applyNumberFormat="1" applyFont="1" applyAlignment="1">
      <alignment horizontal="center"/>
    </xf>
    <xf numFmtId="5" fontId="8" fillId="0" borderId="3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right"/>
    </xf>
    <xf numFmtId="5" fontId="17" fillId="0" borderId="36" xfId="0" applyNumberFormat="1" applyFont="1" applyBorder="1"/>
    <xf numFmtId="5" fontId="21" fillId="0" borderId="37" xfId="0" applyNumberFormat="1" applyFont="1" applyBorder="1"/>
    <xf numFmtId="5" fontId="21" fillId="0" borderId="12" xfId="0" applyNumberFormat="1" applyFont="1" applyBorder="1"/>
    <xf numFmtId="202" fontId="8" fillId="0" borderId="36" xfId="0" applyNumberFormat="1" applyFont="1" applyBorder="1"/>
    <xf numFmtId="202" fontId="8" fillId="0" borderId="0" xfId="0" applyNumberFormat="1" applyFont="1" applyAlignment="1">
      <alignment horizontal="center"/>
    </xf>
    <xf numFmtId="202" fontId="8" fillId="0" borderId="10" xfId="0" applyNumberFormat="1" applyFont="1" applyBorder="1"/>
    <xf numFmtId="0" fontId="8" fillId="0" borderId="2" xfId="0" applyFont="1" applyBorder="1" applyAlignment="1">
      <alignment horizontal="center"/>
    </xf>
    <xf numFmtId="176" fontId="8" fillId="0" borderId="4" xfId="0" applyNumberFormat="1" applyFont="1" applyBorder="1"/>
    <xf numFmtId="9" fontId="8" fillId="0" borderId="6" xfId="0" applyNumberFormat="1" applyFont="1" applyBorder="1"/>
    <xf numFmtId="165" fontId="8" fillId="0" borderId="0" xfId="0" applyNumberFormat="1" applyFont="1"/>
    <xf numFmtId="165" fontId="8" fillId="0" borderId="0" xfId="0" applyNumberFormat="1" applyFont="1" applyAlignment="1">
      <alignment horizontal="center"/>
    </xf>
    <xf numFmtId="204" fontId="8" fillId="0" borderId="0" xfId="0" applyNumberFormat="1" applyFont="1"/>
    <xf numFmtId="5" fontId="8" fillId="0" borderId="8" xfId="0" applyNumberFormat="1" applyFont="1" applyBorder="1"/>
    <xf numFmtId="170" fontId="8" fillId="9" borderId="0" xfId="0" applyNumberFormat="1" applyFont="1" applyFill="1"/>
    <xf numFmtId="171" fontId="8" fillId="9" borderId="0" xfId="0" applyNumberFormat="1" applyFont="1" applyFill="1"/>
    <xf numFmtId="170" fontId="19" fillId="9" borderId="6" xfId="0" applyNumberFormat="1" applyFont="1" applyFill="1" applyBorder="1"/>
    <xf numFmtId="171" fontId="17" fillId="9" borderId="4" xfId="0" applyNumberFormat="1" applyFont="1" applyFill="1" applyBorder="1"/>
    <xf numFmtId="2" fontId="8" fillId="0" borderId="0" xfId="0" applyNumberFormat="1" applyFont="1"/>
    <xf numFmtId="10" fontId="8" fillId="0" borderId="0" xfId="0" applyNumberFormat="1" applyFont="1"/>
    <xf numFmtId="201" fontId="8" fillId="0" borderId="0" xfId="0" applyNumberFormat="1" applyFont="1"/>
    <xf numFmtId="0" fontId="14" fillId="0" borderId="0" xfId="0" applyFont="1"/>
    <xf numFmtId="0" fontId="13" fillId="0" borderId="0" xfId="0" applyFont="1"/>
    <xf numFmtId="14" fontId="8" fillId="0" borderId="0" xfId="0" applyNumberFormat="1" applyFont="1"/>
    <xf numFmtId="44" fontId="28" fillId="2" borderId="1" xfId="5" applyFont="1" applyFill="1" applyBorder="1" applyAlignment="1">
      <alignment horizontal="center"/>
    </xf>
    <xf numFmtId="0" fontId="0" fillId="0" borderId="0" xfId="0" applyAlignment="1">
      <alignment horizontal="center"/>
    </xf>
    <xf numFmtId="37" fontId="10" fillId="1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right" vertical="center" textRotation="90" wrapText="1"/>
    </xf>
    <xf numFmtId="0" fontId="0" fillId="0" borderId="0" xfId="0" applyAlignment="1">
      <alignment horizontal="right" vertical="center" textRotation="90"/>
    </xf>
  </cellXfs>
  <cellStyles count="6">
    <cellStyle name="40% - Accent1" xfId="4" builtinId="31"/>
    <cellStyle name="Calculation" xfId="2" builtinId="22"/>
    <cellStyle name="Currency" xfId="5" builtinId="4"/>
    <cellStyle name="Explanatory Text" xfId="3" builtinId="53"/>
    <cellStyle name="Input" xfId="1" builtinId="20"/>
    <cellStyle name="Normal" xfId="0" builtinId="0"/>
  </cellStyles>
  <dxfs count="12">
    <dxf>
      <numFmt numFmtId="205" formatCode="&quot;--&quot;_)"/>
    </dxf>
    <dxf>
      <font>
        <color rgb="FF9C0006"/>
      </font>
      <fill>
        <patternFill>
          <bgColor rgb="FFFFC7CE"/>
        </patternFill>
      </fill>
    </dxf>
    <dxf>
      <numFmt numFmtId="205" formatCode="&quot;--&quot;_)"/>
    </dxf>
    <dxf>
      <numFmt numFmtId="205" formatCode="&quot;--&quot;_)"/>
    </dxf>
    <dxf>
      <numFmt numFmtId="205" formatCode="&quot;--&quot;_)"/>
    </dxf>
    <dxf>
      <font>
        <color rgb="FF9C0006"/>
      </font>
      <fill>
        <patternFill>
          <bgColor rgb="FFFFC7CE"/>
        </patternFill>
      </fill>
    </dxf>
    <dxf>
      <numFmt numFmtId="205" formatCode="&quot;--&quot;_)"/>
    </dxf>
    <dxf>
      <numFmt numFmtId="205" formatCode="&quot;--&quot;_)"/>
    </dxf>
    <dxf>
      <numFmt numFmtId="205" formatCode="&quot;--&quot;_)"/>
    </dxf>
    <dxf>
      <numFmt numFmtId="205" formatCode="&quot;--&quot;_)"/>
    </dxf>
    <dxf>
      <numFmt numFmtId="205" formatCode="&quot;--&quot;_)"/>
    </dxf>
    <dxf>
      <numFmt numFmtId="205" formatCode="&quot;--&quot;_)"/>
    </dxf>
  </dxfs>
  <tableStyles count="0" defaultTableStyle="TableStyleMedium2" defaultPivotStyle="PivotStyleLight16"/>
  <colors>
    <mruColors>
      <color rgb="FF0000FF"/>
      <color rgb="FF189E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749300</xdr:colOff>
          <xdr:row>10</xdr:row>
          <xdr:rowOff>0</xdr:rowOff>
        </xdr:from>
        <xdr:to>
          <xdr:col>6</xdr:col>
          <xdr:colOff>0</xdr:colOff>
          <xdr:row>10</xdr:row>
          <xdr:rowOff>177800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177800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CC14-F536-498C-BDFA-ADE6E9E89962}">
  <sheetPr codeName="Sheet1"/>
  <dimension ref="A1:U352"/>
  <sheetViews>
    <sheetView showGridLines="0" tabSelected="1" zoomScaleNormal="100" workbookViewId="0"/>
  </sheetViews>
  <sheetFormatPr baseColWidth="10" defaultColWidth="8.83203125" defaultRowHeight="15" x14ac:dyDescent="0.2"/>
  <cols>
    <col min="2" max="2" width="10.33203125" customWidth="1"/>
    <col min="4" max="4" width="19.6640625" customWidth="1"/>
    <col min="5" max="5" width="11.5" customWidth="1"/>
    <col min="6" max="6" width="11" customWidth="1"/>
    <col min="7" max="7" width="10.33203125" bestFit="1" customWidth="1"/>
    <col min="8" max="8" width="10.83203125" customWidth="1"/>
    <col min="9" max="9" width="14.83203125" customWidth="1"/>
    <col min="10" max="10" width="10.5" customWidth="1"/>
    <col min="11" max="11" width="10.6640625" customWidth="1"/>
    <col min="12" max="12" width="11.5" customWidth="1"/>
    <col min="14" max="14" width="11.1640625" bestFit="1" customWidth="1"/>
    <col min="15" max="15" width="30.5" bestFit="1" customWidth="1"/>
    <col min="16" max="16" width="10.6640625" bestFit="1" customWidth="1"/>
    <col min="17" max="17" width="9.5" bestFit="1" customWidth="1"/>
    <col min="18" max="18" width="8.1640625" bestFit="1" customWidth="1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9" x14ac:dyDescent="0.2">
      <c r="A2" s="2" t="s">
        <v>0</v>
      </c>
      <c r="B2" s="3" t="str">
        <f>"LBO Model for "&amp;F6</f>
        <v>LBO Model for Nvidia</v>
      </c>
      <c r="C2" s="3"/>
      <c r="D2" s="3"/>
      <c r="E2" s="4"/>
      <c r="F2" s="5"/>
      <c r="G2" s="5"/>
      <c r="H2" s="5"/>
      <c r="I2" s="5"/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6" t="s">
        <v>1</v>
      </c>
      <c r="C3" s="6"/>
      <c r="D3" s="6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2" t="s">
        <v>0</v>
      </c>
      <c r="B5" s="7" t="s">
        <v>2</v>
      </c>
      <c r="C5" s="7"/>
      <c r="D5" s="7"/>
      <c r="E5" s="7"/>
      <c r="F5" s="7"/>
      <c r="G5" s="1"/>
      <c r="H5" s="7" t="s">
        <v>3</v>
      </c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 s="1"/>
      <c r="B6" s="1" t="s">
        <v>4</v>
      </c>
      <c r="C6" s="1"/>
      <c r="D6" s="1"/>
      <c r="E6" s="1"/>
      <c r="F6" s="8" t="s">
        <v>5</v>
      </c>
      <c r="G6" s="1"/>
      <c r="H6" s="6" t="s">
        <v>6</v>
      </c>
      <c r="I6" s="1"/>
      <c r="J6" s="9" t="s">
        <v>7</v>
      </c>
      <c r="K6" s="9" t="s">
        <v>8</v>
      </c>
      <c r="L6" s="9" t="s">
        <v>9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1" t="s">
        <v>10</v>
      </c>
      <c r="C7" s="1"/>
      <c r="D7" s="1"/>
      <c r="E7" s="1"/>
      <c r="F7" s="8" t="s">
        <v>11</v>
      </c>
      <c r="G7" s="1"/>
      <c r="H7" s="1"/>
      <c r="I7" s="1"/>
      <c r="J7" s="1"/>
      <c r="K7" s="9" t="s">
        <v>12</v>
      </c>
      <c r="L7" s="9" t="s">
        <v>7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2">
      <c r="A8" s="1"/>
      <c r="B8" s="1" t="s">
        <v>13</v>
      </c>
      <c r="C8" s="1"/>
      <c r="D8" s="1"/>
      <c r="E8" s="1"/>
      <c r="F8" s="10">
        <v>485.09</v>
      </c>
      <c r="G8" s="1"/>
      <c r="H8" s="1" t="s">
        <v>14</v>
      </c>
      <c r="I8" s="1"/>
      <c r="J8" s="11">
        <v>2</v>
      </c>
      <c r="K8" s="12">
        <v>3.79</v>
      </c>
      <c r="L8" s="13">
        <f>IF(K8&lt;L24,J8-(J8*K8)/L24,0)*F11</f>
        <v>1.9793313799194272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2">
      <c r="A9" s="1"/>
      <c r="B9" s="1" t="s">
        <v>15</v>
      </c>
      <c r="C9" s="1"/>
      <c r="D9" s="1"/>
      <c r="E9" s="1"/>
      <c r="F9" s="14">
        <v>45173</v>
      </c>
      <c r="G9" s="1"/>
      <c r="H9" s="1" t="s">
        <v>16</v>
      </c>
      <c r="I9" s="1"/>
      <c r="J9" s="1"/>
      <c r="K9" s="1"/>
      <c r="L9" s="11">
        <v>20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2">
      <c r="A10" s="1"/>
      <c r="B10" s="1" t="s">
        <v>17</v>
      </c>
      <c r="C10" s="1"/>
      <c r="D10" s="1"/>
      <c r="E10" s="1"/>
      <c r="F10" s="14">
        <v>44955</v>
      </c>
      <c r="G10" s="375">
        <v>44926</v>
      </c>
      <c r="H10" s="1" t="s">
        <v>18</v>
      </c>
      <c r="I10" s="1"/>
      <c r="J10" s="1"/>
      <c r="K10" s="1"/>
      <c r="L10" s="15">
        <f>'P&amp;L'!E215</f>
        <v>2487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 s="1"/>
      <c r="B11" s="1" t="s">
        <v>19</v>
      </c>
      <c r="C11" s="1"/>
      <c r="D11" s="1"/>
      <c r="E11" s="1"/>
      <c r="F11" s="16">
        <v>1</v>
      </c>
      <c r="G11" s="1"/>
      <c r="H11" s="1" t="s">
        <v>20</v>
      </c>
      <c r="I11" s="1"/>
      <c r="J11" s="1"/>
      <c r="K11" s="1"/>
      <c r="L11" s="17">
        <f>SUM(L8:L10)</f>
        <v>2508.9793313799196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A12" s="1"/>
      <c r="B12" s="1" t="s">
        <v>21</v>
      </c>
      <c r="C12" s="1"/>
      <c r="D12" s="1"/>
      <c r="E12" s="1"/>
      <c r="F12" s="18">
        <f ca="1">SUM(H110:L110)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A13" s="1"/>
      <c r="B13" s="1" t="s">
        <v>22</v>
      </c>
      <c r="C13" s="1"/>
      <c r="D13" s="1"/>
      <c r="E13" s="1"/>
      <c r="F13" s="366">
        <f ca="1">D316</f>
        <v>0.29765610469736759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A14" s="1"/>
      <c r="B14" s="1" t="s">
        <v>23</v>
      </c>
      <c r="C14" s="1"/>
      <c r="D14" s="1"/>
      <c r="E14" s="1"/>
      <c r="F14" s="367">
        <f ca="1">D317</f>
        <v>3.6795784854844231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A15" s="1"/>
      <c r="B15" s="1"/>
      <c r="C15" s="1"/>
      <c r="D15" s="1"/>
      <c r="E15" s="1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A16" s="2" t="s">
        <v>0</v>
      </c>
      <c r="B16" s="7" t="s">
        <v>24</v>
      </c>
      <c r="C16" s="7"/>
      <c r="D16" s="7"/>
      <c r="E16" s="7"/>
      <c r="F16" s="7"/>
      <c r="G16" s="1"/>
      <c r="H16" s="7" t="s">
        <v>25</v>
      </c>
      <c r="I16" s="7"/>
      <c r="J16" s="7"/>
      <c r="K16" s="7"/>
      <c r="L16" s="7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">
      <c r="A17" s="2"/>
      <c r="B17" s="1" t="s">
        <v>26</v>
      </c>
      <c r="C17" s="1"/>
      <c r="D17" s="1"/>
      <c r="E17" s="1"/>
      <c r="F17" s="327">
        <v>130</v>
      </c>
      <c r="G17" s="1"/>
      <c r="H17" s="1" t="s">
        <v>27</v>
      </c>
      <c r="I17" s="1"/>
      <c r="J17" s="1"/>
      <c r="K17" s="1"/>
      <c r="L17" s="21">
        <f>G62</f>
        <v>7121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1"/>
      <c r="B18" s="1" t="s">
        <v>28</v>
      </c>
      <c r="C18" s="1"/>
      <c r="D18" s="1"/>
      <c r="E18" s="1"/>
      <c r="F18" s="328">
        <f>F17</f>
        <v>130</v>
      </c>
      <c r="G18" s="1"/>
      <c r="H18" s="1" t="s">
        <v>29</v>
      </c>
      <c r="I18" s="1"/>
      <c r="J18" s="1"/>
      <c r="K18" s="1"/>
      <c r="L18" s="22">
        <f>F17</f>
        <v>130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">
      <c r="A19" s="1"/>
      <c r="B19" s="1" t="s">
        <v>30</v>
      </c>
      <c r="C19" s="1"/>
      <c r="D19" s="1"/>
      <c r="E19" s="1"/>
      <c r="F19" s="327">
        <v>7.5</v>
      </c>
      <c r="G19" s="1"/>
      <c r="H19" s="23" t="s">
        <v>31</v>
      </c>
      <c r="I19" s="23"/>
      <c r="J19" s="23"/>
      <c r="K19" s="1"/>
      <c r="L19" s="24">
        <f>L17*L18</f>
        <v>925730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">
      <c r="A20" s="1"/>
      <c r="B20" s="1"/>
      <c r="C20" s="1"/>
      <c r="D20" s="1"/>
      <c r="E20" s="1"/>
      <c r="F20" s="134"/>
      <c r="G20" s="1"/>
      <c r="H20" s="25" t="s">
        <v>32</v>
      </c>
      <c r="I20" s="25"/>
      <c r="J20" s="25"/>
      <c r="K20" s="1"/>
      <c r="L20" s="26">
        <f>E211</f>
        <v>9703</v>
      </c>
      <c r="M20" s="1"/>
      <c r="N20" s="326"/>
      <c r="O20" s="1"/>
      <c r="P20" s="1"/>
      <c r="Q20" s="1"/>
      <c r="R20" s="1"/>
      <c r="S20" s="1"/>
      <c r="T20" s="1"/>
      <c r="U20" s="1"/>
    </row>
    <row r="21" spans="1:21" x14ac:dyDescent="0.2">
      <c r="A21" s="1"/>
      <c r="B21" s="1" t="s">
        <v>33</v>
      </c>
      <c r="C21" s="1"/>
      <c r="D21" s="1"/>
      <c r="E21" s="1"/>
      <c r="F21" s="27">
        <v>2000</v>
      </c>
      <c r="G21" s="1"/>
      <c r="H21" s="25" t="s">
        <v>34</v>
      </c>
      <c r="I21" s="25"/>
      <c r="J21" s="25"/>
      <c r="K21" s="1"/>
      <c r="L21" s="26">
        <f>E190</f>
        <v>3389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">
      <c r="A22" s="1"/>
      <c r="B22" s="1" t="s">
        <v>35</v>
      </c>
      <c r="C22" s="1"/>
      <c r="D22" s="1"/>
      <c r="E22" s="1"/>
      <c r="F22" s="27">
        <v>5000</v>
      </c>
      <c r="G22" s="1"/>
      <c r="H22" s="23" t="s">
        <v>36</v>
      </c>
      <c r="I22" s="23"/>
      <c r="J22" s="23"/>
      <c r="K22" s="1"/>
      <c r="L22" s="24">
        <f>L19-L20+L21</f>
        <v>919416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">
      <c r="A23" s="1"/>
      <c r="B23" s="1"/>
      <c r="C23" s="1"/>
      <c r="D23" s="1"/>
      <c r="E23" s="1"/>
      <c r="F23" s="1"/>
      <c r="G23" s="1"/>
      <c r="H23" s="1" t="s">
        <v>20</v>
      </c>
      <c r="I23" s="1"/>
      <c r="J23" s="1"/>
      <c r="K23" s="1"/>
      <c r="L23" s="26">
        <v>2507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1"/>
      <c r="B24" s="1" t="s">
        <v>37</v>
      </c>
      <c r="C24" s="1"/>
      <c r="D24" s="1"/>
      <c r="E24" s="1"/>
      <c r="F24" s="27">
        <v>100</v>
      </c>
      <c r="G24" s="1"/>
      <c r="H24" s="23" t="s">
        <v>38</v>
      </c>
      <c r="I24" s="23"/>
      <c r="J24" s="23"/>
      <c r="K24" s="1"/>
      <c r="L24" s="28">
        <f>L22/L23</f>
        <v>366.73952931790984</v>
      </c>
      <c r="M24" s="1"/>
      <c r="N24" s="1"/>
      <c r="O24" s="1"/>
      <c r="P24" s="134"/>
      <c r="Q24" s="1"/>
      <c r="R24" s="1"/>
      <c r="S24" s="1"/>
      <c r="T24" s="1"/>
      <c r="U24" s="1"/>
    </row>
    <row r="25" spans="1:21" x14ac:dyDescent="0.2">
      <c r="A25" s="1"/>
      <c r="B25" s="1"/>
      <c r="C25" s="1"/>
      <c r="D25" s="1"/>
      <c r="E25" s="1"/>
      <c r="F25" s="1"/>
      <c r="G25" s="1"/>
      <c r="H25" s="6" t="s">
        <v>39</v>
      </c>
      <c r="I25" s="1"/>
      <c r="J25" s="1"/>
      <c r="K25" s="1"/>
      <c r="L25" s="29">
        <f>L24/F8-1</f>
        <v>-0.24397631507986173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">
      <c r="A28" s="2" t="s">
        <v>0</v>
      </c>
      <c r="B28" s="7" t="s">
        <v>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2"/>
      <c r="B29" s="30"/>
      <c r="C29" s="30"/>
      <c r="D29" s="30"/>
      <c r="E29" s="30"/>
      <c r="F29" s="31" t="s">
        <v>41</v>
      </c>
      <c r="G29" s="30"/>
      <c r="H29" s="30"/>
      <c r="I29" s="30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30"/>
      <c r="C30" s="31" t="s">
        <v>42</v>
      </c>
      <c r="D30" s="30"/>
      <c r="E30" s="31" t="s">
        <v>43</v>
      </c>
      <c r="F30" s="31" t="s">
        <v>44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A31" s="1"/>
      <c r="B31" s="32" t="s">
        <v>45</v>
      </c>
      <c r="C31" s="31" t="s">
        <v>46</v>
      </c>
      <c r="D31" s="31" t="s">
        <v>47</v>
      </c>
      <c r="E31" s="31" t="s">
        <v>48</v>
      </c>
      <c r="F31" s="31" t="s">
        <v>49</v>
      </c>
      <c r="G31" s="31" t="s">
        <v>50</v>
      </c>
      <c r="H31" s="31" t="s">
        <v>51</v>
      </c>
      <c r="I31" s="31" t="s">
        <v>52</v>
      </c>
      <c r="J31" s="31" t="s">
        <v>53</v>
      </c>
      <c r="K31" s="31" t="s">
        <v>54</v>
      </c>
      <c r="L31" s="31" t="s">
        <v>55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">
      <c r="A32" s="1"/>
      <c r="B32" s="1" t="s">
        <v>56</v>
      </c>
      <c r="C32" s="27">
        <v>7000</v>
      </c>
      <c r="D32" s="33">
        <f>$L$17*MAX(MIN(E32,($F$19-SUM($E31:E$33))),0)</f>
        <v>0</v>
      </c>
      <c r="E32" s="34">
        <v>0</v>
      </c>
      <c r="F32" s="35">
        <v>400</v>
      </c>
      <c r="G32" s="36">
        <v>0.01</v>
      </c>
      <c r="H32" s="37"/>
      <c r="I32" s="37"/>
      <c r="J32" s="38">
        <v>5</v>
      </c>
      <c r="K32" s="39">
        <v>0.01</v>
      </c>
      <c r="L32" s="33">
        <f>C32*K32+IF(ISBLANK(I32),0,C32*(1-I32/100))</f>
        <v>70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 t="s">
        <v>57</v>
      </c>
      <c r="C33" s="1"/>
      <c r="D33" s="40">
        <f>$L$17*MAX(MIN(E33,$F$19),0)</f>
        <v>32044.5</v>
      </c>
      <c r="E33" s="34">
        <v>4.5</v>
      </c>
      <c r="F33" s="35">
        <v>450</v>
      </c>
      <c r="G33" s="36">
        <v>0.01</v>
      </c>
      <c r="H33" s="37"/>
      <c r="I33" s="11">
        <v>99</v>
      </c>
      <c r="J33" s="38">
        <v>5</v>
      </c>
      <c r="K33" s="39">
        <v>0.01</v>
      </c>
      <c r="L33" s="40">
        <f>D33*K33+IF(ISBLANK(I33),0,D33*(1-I33/100))</f>
        <v>640.89000000000033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 t="s">
        <v>58</v>
      </c>
      <c r="C34" s="1"/>
      <c r="D34" s="40">
        <f>$L$17*MAX(MIN(E34,($F$19-SUM($E$33:E33))),0)</f>
        <v>10681.5</v>
      </c>
      <c r="E34" s="34">
        <v>1.5</v>
      </c>
      <c r="F34" s="41">
        <v>8.1250000000000003E-2</v>
      </c>
      <c r="G34" s="37"/>
      <c r="H34" s="37"/>
      <c r="I34" s="11">
        <v>98</v>
      </c>
      <c r="J34" s="38">
        <v>7</v>
      </c>
      <c r="K34" s="39">
        <v>0.02</v>
      </c>
      <c r="L34" s="40">
        <f t="shared" ref="L34:L36" si="0">D34*K34+IF(ISBLANK(I34),0,D34*(1-I34/100))</f>
        <v>427.26000000000022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 t="s">
        <v>59</v>
      </c>
      <c r="C35" s="1"/>
      <c r="D35" s="40">
        <f>$L$17*MAX(MIN(E35,($F$19-SUM($E$33:E34))),0)</f>
        <v>8901.25</v>
      </c>
      <c r="E35" s="34">
        <v>1.25</v>
      </c>
      <c r="F35" s="41">
        <v>0.09</v>
      </c>
      <c r="G35" s="37"/>
      <c r="H35" s="41">
        <v>2.1250000000000002E-2</v>
      </c>
      <c r="I35" s="37"/>
      <c r="J35" s="38">
        <v>8</v>
      </c>
      <c r="K35" s="39">
        <v>0.03</v>
      </c>
      <c r="L35" s="40">
        <f t="shared" si="0"/>
        <v>267.03749999999997</v>
      </c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">
      <c r="A36" s="1"/>
      <c r="B36" s="1" t="s">
        <v>60</v>
      </c>
      <c r="C36" s="1"/>
      <c r="D36" s="40">
        <f>$L$17*MAX(MIN(E36,($F$19-SUM($E$33:E35))),0)</f>
        <v>1780.25</v>
      </c>
      <c r="E36" s="34">
        <v>1.25</v>
      </c>
      <c r="F36" s="41">
        <v>0.1</v>
      </c>
      <c r="G36" s="37"/>
      <c r="H36" s="41">
        <v>0.05</v>
      </c>
      <c r="I36" s="37"/>
      <c r="J36" s="37"/>
      <c r="K36" s="39">
        <v>0.02</v>
      </c>
      <c r="L36" s="40">
        <f t="shared" si="0"/>
        <v>35.605000000000004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">
      <c r="A37" s="1"/>
      <c r="B37" s="23" t="s">
        <v>61</v>
      </c>
      <c r="C37" s="23"/>
      <c r="D37" s="24">
        <f>SUM(D32:D36)</f>
        <v>53407.5</v>
      </c>
      <c r="E37" s="42"/>
      <c r="F37" s="23"/>
      <c r="G37" s="23"/>
      <c r="H37" s="23"/>
      <c r="I37" s="23"/>
      <c r="J37" s="23"/>
      <c r="K37" s="23"/>
      <c r="L37" s="23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">
      <c r="A38" s="1"/>
      <c r="B38" s="43" t="s">
        <v>62</v>
      </c>
      <c r="C38" s="43"/>
      <c r="D38" s="44">
        <f>D37/L17</f>
        <v>7.5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 s="2" t="s">
        <v>0</v>
      </c>
      <c r="B40" s="45" t="s">
        <v>63</v>
      </c>
      <c r="C40" s="7"/>
      <c r="D40" s="7"/>
      <c r="E40" s="46" t="s">
        <v>47</v>
      </c>
      <c r="F40" s="46" t="s">
        <v>64</v>
      </c>
      <c r="G40" s="1"/>
      <c r="H40" s="45" t="s">
        <v>65</v>
      </c>
      <c r="I40" s="7"/>
      <c r="J40" s="47" t="s">
        <v>66</v>
      </c>
      <c r="K40" s="46" t="s">
        <v>47</v>
      </c>
      <c r="L40" s="46" t="s">
        <v>64</v>
      </c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">
      <c r="A41" s="1"/>
      <c r="B41" s="1" t="s">
        <v>67</v>
      </c>
      <c r="C41" s="1"/>
      <c r="D41" s="1"/>
      <c r="E41" s="33">
        <f>L22</f>
        <v>919416</v>
      </c>
      <c r="F41" s="29">
        <f>E41/$E$49</f>
        <v>0.98791847182975834</v>
      </c>
      <c r="G41" s="1"/>
      <c r="H41" s="1" t="s">
        <v>68</v>
      </c>
      <c r="I41" s="1"/>
      <c r="J41" s="1"/>
      <c r="K41" s="33">
        <f>L21-F21</f>
        <v>1389</v>
      </c>
      <c r="L41" s="29">
        <f>K41/$K$49</f>
        <v>1.492489533977584E-3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 s="1"/>
      <c r="B42" s="1" t="s">
        <v>69</v>
      </c>
      <c r="C42" s="1"/>
      <c r="D42" s="1"/>
      <c r="E42" s="40">
        <f>L20</f>
        <v>9703</v>
      </c>
      <c r="F42" s="29">
        <f t="shared" ref="F42:F44" si="1">E42/$E$49</f>
        <v>1.0425936607764218E-2</v>
      </c>
      <c r="G42" s="1"/>
      <c r="H42" s="1" t="str">
        <f>B32</f>
        <v>Revolver</v>
      </c>
      <c r="I42" s="1"/>
      <c r="J42" s="48">
        <f>K42/$L$17</f>
        <v>0</v>
      </c>
      <c r="K42" s="40">
        <f>D32</f>
        <v>0</v>
      </c>
      <c r="L42" s="29">
        <f>K42/$K$49</f>
        <v>0</v>
      </c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">
      <c r="A43" s="1"/>
      <c r="B43" s="1" t="s">
        <v>70</v>
      </c>
      <c r="C43" s="1"/>
      <c r="D43" s="1"/>
      <c r="E43" s="40">
        <f>SUM(L32:L35)</f>
        <v>1405.1875000000005</v>
      </c>
      <c r="F43" s="29">
        <f t="shared" si="1"/>
        <v>1.5098831080101705E-3</v>
      </c>
      <c r="G43" s="1"/>
      <c r="H43" s="1" t="str">
        <f>B33</f>
        <v xml:space="preserve">Term Loan </v>
      </c>
      <c r="I43" s="1"/>
      <c r="J43" s="48">
        <f t="shared" ref="J43:J46" si="2">K43/$L$17</f>
        <v>4.5</v>
      </c>
      <c r="K43" s="40">
        <f t="shared" ref="K43:K46" si="3">D33</f>
        <v>32044.5</v>
      </c>
      <c r="L43" s="29">
        <f t="shared" ref="L43:L48" si="4">K43/$K$49</f>
        <v>3.4432023665618927E-2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/>
      <c r="B44" s="1" t="s">
        <v>37</v>
      </c>
      <c r="C44" s="1"/>
      <c r="D44" s="1"/>
      <c r="E44" s="40">
        <f>F24+L36</f>
        <v>135.60500000000002</v>
      </c>
      <c r="F44" s="29">
        <f t="shared" si="1"/>
        <v>1.4570845446726445E-4</v>
      </c>
      <c r="G44" s="1"/>
      <c r="H44" s="1" t="str">
        <f>B34</f>
        <v>Subordinated Debt</v>
      </c>
      <c r="I44" s="1"/>
      <c r="J44" s="48">
        <f t="shared" si="2"/>
        <v>1.5</v>
      </c>
      <c r="K44" s="40">
        <f t="shared" si="3"/>
        <v>10681.5</v>
      </c>
      <c r="L44" s="29">
        <f t="shared" si="4"/>
        <v>1.1477341221872975E-2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 s="1"/>
      <c r="B45" s="1"/>
      <c r="C45" s="1"/>
      <c r="D45" s="1"/>
      <c r="E45" s="33"/>
      <c r="F45" s="1"/>
      <c r="G45" s="1"/>
      <c r="H45" s="1" t="str">
        <f>B35</f>
        <v>Mezzanine Financing</v>
      </c>
      <c r="I45" s="1"/>
      <c r="J45" s="48">
        <f t="shared" si="2"/>
        <v>1.25</v>
      </c>
      <c r="K45" s="40">
        <f t="shared" si="3"/>
        <v>8901.25</v>
      </c>
      <c r="L45" s="29">
        <f t="shared" si="4"/>
        <v>9.5644510182274801E-3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 s="1"/>
      <c r="B46" s="1"/>
      <c r="C46" s="1"/>
      <c r="D46" s="1"/>
      <c r="E46" s="1"/>
      <c r="F46" s="1"/>
      <c r="G46" s="1"/>
      <c r="H46" s="1" t="str">
        <f>B36</f>
        <v>Preferred Stock</v>
      </c>
      <c r="I46" s="1"/>
      <c r="J46" s="48">
        <f t="shared" si="2"/>
        <v>0.25</v>
      </c>
      <c r="K46" s="40">
        <f t="shared" si="3"/>
        <v>1780.25</v>
      </c>
      <c r="L46" s="29">
        <f t="shared" si="4"/>
        <v>1.9128902036454961E-3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">
      <c r="A47" s="1"/>
      <c r="B47" s="1"/>
      <c r="C47" s="1"/>
      <c r="D47" s="1"/>
      <c r="E47" s="1"/>
      <c r="F47" s="1"/>
      <c r="G47" s="1"/>
      <c r="H47" s="1" t="s">
        <v>71</v>
      </c>
      <c r="I47" s="1"/>
      <c r="J47" s="1"/>
      <c r="K47" s="40">
        <f>F22</f>
        <v>5000</v>
      </c>
      <c r="L47" s="29">
        <f t="shared" si="4"/>
        <v>5.3725325197177248E-3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 s="1"/>
      <c r="B48" s="1"/>
      <c r="C48" s="1"/>
      <c r="D48" s="1"/>
      <c r="E48" s="1"/>
      <c r="F48" s="1"/>
      <c r="G48" s="1"/>
      <c r="H48" s="1" t="s">
        <v>72</v>
      </c>
      <c r="I48" s="1"/>
      <c r="J48" s="1"/>
      <c r="K48" s="40">
        <f>E49-SUM(K41:K47)</f>
        <v>870863.29249999998</v>
      </c>
      <c r="L48" s="29">
        <f t="shared" si="4"/>
        <v>0.93574827183693976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 s="1"/>
      <c r="B49" s="23" t="s">
        <v>73</v>
      </c>
      <c r="C49" s="23"/>
      <c r="D49" s="1"/>
      <c r="E49" s="24">
        <f>SUM(E41:E44)</f>
        <v>930659.79249999998</v>
      </c>
      <c r="F49" s="49">
        <f>SUM(F41:F45)</f>
        <v>1</v>
      </c>
      <c r="G49" s="1"/>
      <c r="H49" s="23" t="s">
        <v>74</v>
      </c>
      <c r="I49" s="1"/>
      <c r="J49" s="1"/>
      <c r="K49" s="24">
        <f>SUM(K41:K48)</f>
        <v>930659.79249999998</v>
      </c>
      <c r="L49" s="49">
        <f>SUM(L41:L48)</f>
        <v>1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2" t="s">
        <v>0</v>
      </c>
      <c r="B52" s="382" t="s">
        <v>75</v>
      </c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/>
      <c r="B53" s="1"/>
      <c r="C53" s="1"/>
      <c r="D53" s="1"/>
      <c r="E53" s="50">
        <f>F53-1</f>
        <v>2020</v>
      </c>
      <c r="F53" s="50">
        <f>G53-1</f>
        <v>2021</v>
      </c>
      <c r="G53" s="51">
        <f>YEAR(G10)</f>
        <v>2022</v>
      </c>
      <c r="H53" s="330">
        <f>G53+1</f>
        <v>2023</v>
      </c>
      <c r="I53" s="329">
        <f t="shared" ref="I53:L53" si="5">H53+1</f>
        <v>2024</v>
      </c>
      <c r="J53" s="329">
        <f t="shared" si="5"/>
        <v>2025</v>
      </c>
      <c r="K53" s="52">
        <f t="shared" si="5"/>
        <v>2026</v>
      </c>
      <c r="L53" s="329">
        <f t="shared" si="5"/>
        <v>2027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">
      <c r="A54" s="1"/>
      <c r="B54" s="53" t="s">
        <v>76</v>
      </c>
      <c r="C54" s="53"/>
      <c r="D54" s="1"/>
      <c r="E54" s="54">
        <f>'P&amp;L'!C15</f>
        <v>16675</v>
      </c>
      <c r="F54" s="54">
        <f>'P&amp;L'!D15</f>
        <v>26914</v>
      </c>
      <c r="G54" s="55">
        <f>'P&amp;L'!E15</f>
        <v>26974</v>
      </c>
      <c r="H54" s="54">
        <f>'P&amp;L'!F15</f>
        <v>35285.529728266578</v>
      </c>
      <c r="I54" s="331">
        <f>'P&amp;L'!G15</f>
        <v>46158.100697129994</v>
      </c>
      <c r="J54" s="331">
        <f>'P&amp;L'!H15</f>
        <v>60380.849497623742</v>
      </c>
      <c r="K54" s="54">
        <f>'P&amp;L'!I15</f>
        <v>78986.070288662886</v>
      </c>
      <c r="L54" s="54">
        <f>'P&amp;L'!J15</f>
        <v>103324.13921886143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">
      <c r="A55" s="1"/>
      <c r="B55" s="53" t="s">
        <v>77</v>
      </c>
      <c r="C55" s="53"/>
      <c r="D55" s="1"/>
      <c r="E55" s="56">
        <f>'P&amp;L'!C17</f>
        <v>5181</v>
      </c>
      <c r="F55" s="56">
        <f>'P&amp;L'!D17</f>
        <v>8265</v>
      </c>
      <c r="G55" s="57">
        <f>'P&amp;L'!E17</f>
        <v>10074</v>
      </c>
      <c r="H55" s="56">
        <f>'P&amp;L'!F17</f>
        <v>13178.113238027636</v>
      </c>
      <c r="I55" s="332">
        <f>'P&amp;L'!G17</f>
        <v>17238.700467964987</v>
      </c>
      <c r="J55" s="332">
        <f>'P&amp;L'!H17</f>
        <v>22550.481124010585</v>
      </c>
      <c r="K55" s="56">
        <f>'P&amp;L'!I17</f>
        <v>29498.986879513228</v>
      </c>
      <c r="L55" s="56">
        <f>'P&amp;L'!J17</f>
        <v>38588.543726952244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">
      <c r="A56" s="1"/>
      <c r="B56" s="58" t="s">
        <v>78</v>
      </c>
      <c r="C56" s="58"/>
      <c r="D56" s="1"/>
      <c r="E56" s="24">
        <f>E54-E55</f>
        <v>11494</v>
      </c>
      <c r="F56" s="24">
        <f t="shared" ref="F56:L56" si="6">F54-F55</f>
        <v>18649</v>
      </c>
      <c r="G56" s="59">
        <f t="shared" si="6"/>
        <v>16900</v>
      </c>
      <c r="H56" s="85">
        <f t="shared" si="6"/>
        <v>22107.416490238942</v>
      </c>
      <c r="I56" s="333">
        <f t="shared" si="6"/>
        <v>28919.400229165007</v>
      </c>
      <c r="J56" s="333">
        <f t="shared" si="6"/>
        <v>37830.368373613157</v>
      </c>
      <c r="K56" s="24">
        <f t="shared" si="6"/>
        <v>49487.083409149658</v>
      </c>
      <c r="L56" s="24">
        <f t="shared" si="6"/>
        <v>64735.595491909182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">
      <c r="A57" s="1"/>
      <c r="B57" s="53"/>
      <c r="C57" s="53"/>
      <c r="D57" s="1"/>
      <c r="E57" s="40"/>
      <c r="F57" s="40"/>
      <c r="G57" s="60"/>
      <c r="H57" s="40"/>
      <c r="I57" s="40"/>
      <c r="J57" s="40"/>
      <c r="K57" s="40"/>
      <c r="L57" s="40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">
      <c r="A58" s="1"/>
      <c r="B58" s="53" t="s">
        <v>79</v>
      </c>
      <c r="C58" s="53"/>
      <c r="D58" s="1"/>
      <c r="E58" s="56">
        <f>'P&amp;L'!C21</f>
        <v>3924</v>
      </c>
      <c r="F58" s="56">
        <f>'P&amp;L'!D21</f>
        <v>5268</v>
      </c>
      <c r="G58" s="57">
        <f>'P&amp;L'!E21</f>
        <v>7339</v>
      </c>
      <c r="H58" s="56">
        <f>'P&amp;L'!F21</f>
        <v>9600.3745338380813</v>
      </c>
      <c r="I58" s="332">
        <f>'P&amp;L'!G21</f>
        <v>12558.54901075988</v>
      </c>
      <c r="J58" s="332">
        <f>'P&amp;L'!H21</f>
        <v>16428.229200825263</v>
      </c>
      <c r="K58" s="56">
        <f>'P&amp;L'!I21</f>
        <v>21490.278410636052</v>
      </c>
      <c r="L58" s="56">
        <f>'P&amp;L'!J21</f>
        <v>28112.102681368131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">
      <c r="A59" s="1"/>
      <c r="B59" s="53" t="s">
        <v>80</v>
      </c>
      <c r="C59" s="53"/>
      <c r="D59" s="1"/>
      <c r="E59" s="56">
        <f>'P&amp;L'!C22</f>
        <v>1856</v>
      </c>
      <c r="F59" s="56">
        <f>'P&amp;L'!D22</f>
        <v>2166</v>
      </c>
      <c r="G59" s="57">
        <f>'P&amp;L'!E22</f>
        <v>2440</v>
      </c>
      <c r="H59" s="56">
        <f>'P&amp;L'!F22</f>
        <v>3191.8400139753262</v>
      </c>
      <c r="I59" s="332">
        <f>'P&amp;L'!G22</f>
        <v>4175.3453585303323</v>
      </c>
      <c r="J59" s="332">
        <f>'P&amp;L'!H22</f>
        <v>5461.8993391488821</v>
      </c>
      <c r="K59" s="56">
        <f>'P&amp;L'!I22</f>
        <v>7144.8806815577018</v>
      </c>
      <c r="L59" s="56">
        <f>'P&amp;L'!J22</f>
        <v>9346.4410059324491</v>
      </c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">
      <c r="A60" s="1"/>
      <c r="B60" s="53" t="s">
        <v>81</v>
      </c>
      <c r="C60" s="53"/>
      <c r="D60" s="1"/>
      <c r="E60" s="61">
        <f>SUM(E58:E59)</f>
        <v>5780</v>
      </c>
      <c r="F60" s="61">
        <f t="shared" ref="F60:G60" si="7">SUM(F58:F59)</f>
        <v>7434</v>
      </c>
      <c r="G60" s="62">
        <f t="shared" si="7"/>
        <v>9779</v>
      </c>
      <c r="H60" s="61">
        <f t="shared" ref="H60:L60" si="8">SUM(H58:H59)</f>
        <v>12792.214547813408</v>
      </c>
      <c r="I60" s="334">
        <f t="shared" si="8"/>
        <v>16733.89436929021</v>
      </c>
      <c r="J60" s="334">
        <f t="shared" si="8"/>
        <v>21890.128539974146</v>
      </c>
      <c r="K60" s="61">
        <f t="shared" si="8"/>
        <v>28635.159092193753</v>
      </c>
      <c r="L60" s="61">
        <f t="shared" si="8"/>
        <v>37458.543687300582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">
      <c r="A61" s="1"/>
      <c r="B61" s="53"/>
      <c r="C61" s="53"/>
      <c r="D61" s="1"/>
      <c r="E61" s="40"/>
      <c r="F61" s="40"/>
      <c r="G61" s="60"/>
      <c r="H61" s="40"/>
      <c r="I61" s="40"/>
      <c r="J61" s="40"/>
      <c r="K61" s="40"/>
      <c r="L61" s="40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">
      <c r="A62" s="1"/>
      <c r="B62" s="58" t="s">
        <v>48</v>
      </c>
      <c r="C62" s="58"/>
      <c r="D62" s="1"/>
      <c r="E62" s="63">
        <f>E56-E60</f>
        <v>5714</v>
      </c>
      <c r="F62" s="63">
        <f t="shared" ref="F62:L62" si="9">F56-F60</f>
        <v>11215</v>
      </c>
      <c r="G62" s="64">
        <f t="shared" si="9"/>
        <v>7121</v>
      </c>
      <c r="H62" s="63">
        <f t="shared" si="9"/>
        <v>9315.2019424255341</v>
      </c>
      <c r="I62" s="335">
        <f t="shared" si="9"/>
        <v>12185.505859874796</v>
      </c>
      <c r="J62" s="335">
        <f t="shared" si="9"/>
        <v>15940.239833639011</v>
      </c>
      <c r="K62" s="63">
        <f t="shared" si="9"/>
        <v>20851.924316955905</v>
      </c>
      <c r="L62" s="63">
        <f t="shared" si="9"/>
        <v>27277.0518046086</v>
      </c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">
      <c r="A63" s="1"/>
      <c r="B63" s="53" t="s">
        <v>82</v>
      </c>
      <c r="C63" s="53"/>
      <c r="D63" s="1"/>
      <c r="E63" s="56">
        <f>'P&amp;L'!C29</f>
        <v>486</v>
      </c>
      <c r="F63" s="56">
        <f>'P&amp;L'!D29</f>
        <v>611</v>
      </c>
      <c r="G63" s="57">
        <f>'P&amp;L'!E29</f>
        <v>845</v>
      </c>
      <c r="H63" s="56">
        <f>'P&amp;L'!F29</f>
        <v>782.30472265316394</v>
      </c>
      <c r="I63" s="332">
        <f>'P&amp;L'!G29</f>
        <v>1183.1549891432173</v>
      </c>
      <c r="J63" s="332">
        <f>'P&amp;L'!H29</f>
        <v>1707.519710534867</v>
      </c>
      <c r="K63" s="56">
        <f>'P&amp;L'!I29</f>
        <v>2393.4575382622816</v>
      </c>
      <c r="L63" s="56">
        <f>'P&amp;L'!J29</f>
        <v>3290.7541799178866</v>
      </c>
      <c r="M63" s="65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 s="1"/>
      <c r="B64" s="53" t="s">
        <v>83</v>
      </c>
      <c r="C64" s="53"/>
      <c r="D64" s="1"/>
      <c r="E64" s="56">
        <f>'P&amp;L'!C30</f>
        <v>612</v>
      </c>
      <c r="F64" s="56">
        <f>'P&amp;L'!D30</f>
        <v>563</v>
      </c>
      <c r="G64" s="57">
        <f>'P&amp;L'!E30</f>
        <v>699</v>
      </c>
      <c r="H64" s="56">
        <f>'P&amp;L'!F30</f>
        <v>699</v>
      </c>
      <c r="I64" s="332">
        <f>'P&amp;L'!G30</f>
        <v>699</v>
      </c>
      <c r="J64" s="332">
        <f>'P&amp;L'!H30</f>
        <v>699</v>
      </c>
      <c r="K64" s="56">
        <f>'P&amp;L'!I30</f>
        <v>699</v>
      </c>
      <c r="L64" s="56">
        <f>'P&amp;L'!J30</f>
        <v>699</v>
      </c>
      <c r="M64" s="65"/>
      <c r="N64" s="1"/>
      <c r="O64" s="1"/>
      <c r="P64" s="1"/>
      <c r="Q64" s="1"/>
      <c r="R64" s="1"/>
      <c r="S64" s="1"/>
      <c r="T64" s="1"/>
      <c r="U64" s="1"/>
    </row>
    <row r="65" spans="1:21" x14ac:dyDescent="0.2">
      <c r="A65" s="1"/>
      <c r="B65" s="53" t="s">
        <v>84</v>
      </c>
      <c r="C65" s="53"/>
      <c r="D65" s="1"/>
      <c r="E65" s="66">
        <f>E62-SUM(E63:E64)</f>
        <v>4616</v>
      </c>
      <c r="F65" s="66">
        <f t="shared" ref="F65:L65" si="10">F62-SUM(F63:F64)</f>
        <v>10041</v>
      </c>
      <c r="G65" s="67">
        <f t="shared" si="10"/>
        <v>5577</v>
      </c>
      <c r="H65" s="120">
        <f t="shared" si="10"/>
        <v>7833.8972197723706</v>
      </c>
      <c r="I65" s="336">
        <f t="shared" si="10"/>
        <v>10303.35087073158</v>
      </c>
      <c r="J65" s="336">
        <f t="shared" si="10"/>
        <v>13533.720123104144</v>
      </c>
      <c r="K65" s="71">
        <f t="shared" si="10"/>
        <v>17759.466778693622</v>
      </c>
      <c r="L65" s="71">
        <f t="shared" si="10"/>
        <v>23287.297624690713</v>
      </c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">
      <c r="A66" s="1"/>
      <c r="B66" s="53" t="s">
        <v>85</v>
      </c>
      <c r="C66" s="53"/>
      <c r="D66" s="1"/>
      <c r="E66" s="68">
        <f>'P&amp;L'!C35</f>
        <v>184</v>
      </c>
      <c r="F66" s="68">
        <f>'P&amp;L'!D35</f>
        <v>236</v>
      </c>
      <c r="G66" s="69">
        <f>'P&amp;L'!E35</f>
        <v>262</v>
      </c>
      <c r="H66" s="26">
        <f ca="1">H181</f>
        <v>5487.2926989397811</v>
      </c>
      <c r="I66" s="337">
        <f t="shared" ref="I66:L66" ca="1" si="11">I181</f>
        <v>4754.5443351107488</v>
      </c>
      <c r="J66" s="337">
        <f t="shared" ca="1" si="11"/>
        <v>4258.3351676403718</v>
      </c>
      <c r="K66" s="26">
        <f t="shared" ca="1" si="11"/>
        <v>4015.4496031086724</v>
      </c>
      <c r="L66" s="26">
        <f t="shared" ca="1" si="11"/>
        <v>3647.7214855162424</v>
      </c>
      <c r="M66" s="25"/>
      <c r="N66" s="1"/>
      <c r="O66" s="1"/>
      <c r="P66" s="1"/>
      <c r="Q66" s="1"/>
      <c r="R66" s="1"/>
      <c r="S66" s="1"/>
      <c r="T66" s="1"/>
      <c r="U66" s="1"/>
    </row>
    <row r="67" spans="1:21" x14ac:dyDescent="0.2">
      <c r="A67" s="1"/>
      <c r="B67" s="53" t="s">
        <v>86</v>
      </c>
      <c r="C67" s="53"/>
      <c r="D67" s="1"/>
      <c r="E67" s="68">
        <f>'P&amp;L'!C33+'P&amp;L'!C34-'P&amp;L'!C32</f>
        <v>-23</v>
      </c>
      <c r="F67" s="68">
        <f>'P&amp;L'!D33+'P&amp;L'!D34-'P&amp;L'!D32</f>
        <v>136</v>
      </c>
      <c r="G67" s="69">
        <f>'P&amp;L'!E33+'P&amp;L'!E34-'P&amp;L'!E32</f>
        <v>-1134</v>
      </c>
      <c r="H67" s="70"/>
      <c r="I67" s="26"/>
      <c r="J67" s="26"/>
      <c r="K67" s="26"/>
      <c r="L67" s="26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">
      <c r="A68" s="1"/>
      <c r="B68" s="53" t="s">
        <v>87</v>
      </c>
      <c r="C68" s="53"/>
      <c r="D68" s="1"/>
      <c r="E68" s="66">
        <f>E65-E66+E67</f>
        <v>4409</v>
      </c>
      <c r="F68" s="66">
        <f t="shared" ref="F68:L68" si="12">F65-F66+F67</f>
        <v>9941</v>
      </c>
      <c r="G68" s="67">
        <f t="shared" si="12"/>
        <v>4181</v>
      </c>
      <c r="H68" s="120">
        <f t="shared" ca="1" si="12"/>
        <v>2346.6045208325895</v>
      </c>
      <c r="I68" s="336">
        <f t="shared" ca="1" si="12"/>
        <v>5548.8065356208308</v>
      </c>
      <c r="J68" s="336">
        <f t="shared" ca="1" si="12"/>
        <v>9275.3849554637709</v>
      </c>
      <c r="K68" s="71">
        <f t="shared" ca="1" si="12"/>
        <v>13744.01717558495</v>
      </c>
      <c r="L68" s="71">
        <f t="shared" ca="1" si="12"/>
        <v>19639.576139174471</v>
      </c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">
      <c r="A69" s="1"/>
      <c r="B69" s="53" t="s">
        <v>88</v>
      </c>
      <c r="C69" s="53"/>
      <c r="D69" s="1"/>
      <c r="E69" s="68">
        <f>'P&amp;L'!C37</f>
        <v>77</v>
      </c>
      <c r="F69" s="68">
        <f>'P&amp;L'!D37</f>
        <v>189</v>
      </c>
      <c r="G69" s="69">
        <f>'P&amp;L'!E37</f>
        <v>-187</v>
      </c>
      <c r="H69" s="26">
        <f t="shared" ref="H69:L69" ca="1" si="13">H237</f>
        <v>404.1709060065055</v>
      </c>
      <c r="I69" s="337">
        <f t="shared" ca="1" si="13"/>
        <v>805.62019460207568</v>
      </c>
      <c r="J69" s="337">
        <f t="shared" ca="1" si="13"/>
        <v>1969.0321388583757</v>
      </c>
      <c r="K69" s="26">
        <f t="shared" ca="1" si="13"/>
        <v>2646.7073380121983</v>
      </c>
      <c r="L69" s="26">
        <f t="shared" ca="1" si="13"/>
        <v>3814.5876046459966</v>
      </c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">
      <c r="A70" s="1"/>
      <c r="B70" s="58" t="s">
        <v>89</v>
      </c>
      <c r="C70" s="58"/>
      <c r="D70" s="1"/>
      <c r="E70" s="72">
        <f>E68-E69</f>
        <v>4332</v>
      </c>
      <c r="F70" s="72">
        <f t="shared" ref="F70:G70" si="14">F68-F69</f>
        <v>9752</v>
      </c>
      <c r="G70" s="73">
        <f t="shared" si="14"/>
        <v>4368</v>
      </c>
      <c r="H70" s="24">
        <f ca="1">H68-H69</f>
        <v>1942.4336148260841</v>
      </c>
      <c r="I70" s="333">
        <f t="shared" ref="I70:L70" ca="1" si="15">I68-I69</f>
        <v>4743.1863410187552</v>
      </c>
      <c r="J70" s="333">
        <f t="shared" ca="1" si="15"/>
        <v>7306.3528166053948</v>
      </c>
      <c r="K70" s="24">
        <f t="shared" ca="1" si="15"/>
        <v>11097.309837572751</v>
      </c>
      <c r="L70" s="24">
        <f t="shared" ca="1" si="15"/>
        <v>15824.988534528475</v>
      </c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">
      <c r="A73" s="2" t="s">
        <v>0</v>
      </c>
      <c r="B73" s="7" t="s">
        <v>90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">
      <c r="A74" s="1"/>
      <c r="B74" s="1"/>
      <c r="C74" s="1"/>
      <c r="D74" s="1"/>
      <c r="E74" s="50">
        <f>F74-1</f>
        <v>2020</v>
      </c>
      <c r="F74" s="50">
        <f>G74-1</f>
        <v>2021</v>
      </c>
      <c r="G74" s="51">
        <f>YEAR(G10)</f>
        <v>2022</v>
      </c>
      <c r="H74" s="52">
        <f>G74+1</f>
        <v>2023</v>
      </c>
      <c r="I74" s="329">
        <f t="shared" ref="I74:L74" si="16">H74+1</f>
        <v>2024</v>
      </c>
      <c r="J74" s="329">
        <f t="shared" si="16"/>
        <v>2025</v>
      </c>
      <c r="K74" s="52">
        <f t="shared" si="16"/>
        <v>2026</v>
      </c>
      <c r="L74" s="52">
        <f t="shared" si="16"/>
        <v>2027</v>
      </c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A75" s="1"/>
      <c r="B75" s="53" t="s">
        <v>89</v>
      </c>
      <c r="C75" s="53"/>
      <c r="D75" s="1"/>
      <c r="E75" s="74"/>
      <c r="F75" s="74"/>
      <c r="G75" s="75"/>
      <c r="H75" s="61">
        <f ca="1">H70</f>
        <v>1942.4336148260841</v>
      </c>
      <c r="I75" s="334">
        <f t="shared" ref="I75:L75" ca="1" si="17">I70</f>
        <v>4743.1863410187552</v>
      </c>
      <c r="J75" s="334">
        <f t="shared" ca="1" si="17"/>
        <v>7306.3528166053948</v>
      </c>
      <c r="K75" s="61">
        <f t="shared" ca="1" si="17"/>
        <v>11097.309837572751</v>
      </c>
      <c r="L75" s="61">
        <f t="shared" ca="1" si="17"/>
        <v>15824.988534528475</v>
      </c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">
      <c r="A76" s="1"/>
      <c r="B76" s="76" t="s">
        <v>91</v>
      </c>
      <c r="C76" s="53"/>
      <c r="D76" s="1"/>
      <c r="E76" s="77"/>
      <c r="F76" s="77"/>
      <c r="G76" s="78"/>
      <c r="H76" s="40">
        <f>H63</f>
        <v>782.30472265316394</v>
      </c>
      <c r="I76" s="338">
        <f t="shared" ref="I76:L77" si="18">I63</f>
        <v>1183.1549891432173</v>
      </c>
      <c r="J76" s="338">
        <f t="shared" si="18"/>
        <v>1707.519710534867</v>
      </c>
      <c r="K76" s="40">
        <f t="shared" si="18"/>
        <v>2393.4575382622816</v>
      </c>
      <c r="L76" s="40">
        <f t="shared" si="18"/>
        <v>3290.7541799178866</v>
      </c>
      <c r="M76" s="65"/>
      <c r="N76" s="1"/>
      <c r="O76" s="1"/>
      <c r="P76" s="1"/>
      <c r="Q76" s="1"/>
      <c r="R76" s="1"/>
      <c r="S76" s="1"/>
      <c r="T76" s="1"/>
      <c r="U76" s="1"/>
    </row>
    <row r="77" spans="1:21" x14ac:dyDescent="0.2">
      <c r="A77" s="1"/>
      <c r="B77" s="76" t="s">
        <v>92</v>
      </c>
      <c r="C77" s="53"/>
      <c r="D77" s="1"/>
      <c r="E77" s="77"/>
      <c r="F77" s="77"/>
      <c r="G77" s="78"/>
      <c r="H77" s="40">
        <f>H64</f>
        <v>699</v>
      </c>
      <c r="I77" s="338">
        <f t="shared" si="18"/>
        <v>699</v>
      </c>
      <c r="J77" s="338">
        <f t="shared" si="18"/>
        <v>699</v>
      </c>
      <c r="K77" s="40">
        <f t="shared" si="18"/>
        <v>699</v>
      </c>
      <c r="L77" s="40">
        <f t="shared" si="18"/>
        <v>699</v>
      </c>
      <c r="M77" s="65"/>
      <c r="N77" s="1"/>
      <c r="O77" s="1"/>
      <c r="P77" s="1"/>
      <c r="Q77" s="1"/>
      <c r="R77" s="1"/>
      <c r="S77" s="1"/>
      <c r="T77" s="1"/>
      <c r="U77" s="1"/>
    </row>
    <row r="78" spans="1:21" x14ac:dyDescent="0.2">
      <c r="A78" s="1"/>
      <c r="B78" s="76" t="s">
        <v>93</v>
      </c>
      <c r="C78" s="53"/>
      <c r="D78" s="1"/>
      <c r="E78" s="77"/>
      <c r="F78" s="77"/>
      <c r="G78" s="78"/>
      <c r="H78" s="56">
        <f>'P&amp;L'!F142</f>
        <v>-1375.4974681909252</v>
      </c>
      <c r="I78" s="332">
        <f>'P&amp;L'!G142</f>
        <v>-1799.3310893826028</v>
      </c>
      <c r="J78" s="332">
        <f>'P&amp;L'!H142</f>
        <v>-2353.7610530660641</v>
      </c>
      <c r="K78" s="56">
        <f>'P&amp;L'!I142</f>
        <v>-3079.0281608659734</v>
      </c>
      <c r="L78" s="56">
        <f>'P&amp;L'!J142</f>
        <v>-4027.7726590200309</v>
      </c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">
      <c r="A79" s="1"/>
      <c r="B79" s="76" t="s">
        <v>94</v>
      </c>
      <c r="C79" s="53"/>
      <c r="D79" s="1"/>
      <c r="E79" s="77"/>
      <c r="F79" s="77"/>
      <c r="G79" s="78"/>
      <c r="H79" s="26">
        <f>H177</f>
        <v>236.59483035714294</v>
      </c>
      <c r="I79" s="337">
        <f t="shared" ref="I79:L79" si="19">I177</f>
        <v>236.59483035714294</v>
      </c>
      <c r="J79" s="337">
        <f t="shared" si="19"/>
        <v>236.59483035714294</v>
      </c>
      <c r="K79" s="26">
        <f t="shared" si="19"/>
        <v>236.59483035714294</v>
      </c>
      <c r="L79" s="26">
        <f t="shared" si="19"/>
        <v>236.59483035714294</v>
      </c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">
      <c r="A80" s="1"/>
      <c r="B80" s="76" t="s">
        <v>95</v>
      </c>
      <c r="C80" s="53"/>
      <c r="D80" s="1"/>
      <c r="E80" s="77"/>
      <c r="F80" s="77"/>
      <c r="G80" s="78"/>
      <c r="H80" s="26">
        <f>H168</f>
        <v>189.15156250000001</v>
      </c>
      <c r="I80" s="337">
        <f t="shared" ref="I80:L80" si="20">I168</f>
        <v>193.17103320312501</v>
      </c>
      <c r="J80" s="337">
        <f t="shared" si="20"/>
        <v>197.27591765869141</v>
      </c>
      <c r="K80" s="26">
        <f t="shared" si="20"/>
        <v>201.4680309089386</v>
      </c>
      <c r="L80" s="26">
        <f t="shared" si="20"/>
        <v>205.74922656575353</v>
      </c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">
      <c r="A81" s="1"/>
      <c r="B81" s="58" t="s">
        <v>96</v>
      </c>
      <c r="C81" s="58"/>
      <c r="D81" s="1"/>
      <c r="E81" s="77"/>
      <c r="F81" s="77"/>
      <c r="G81" s="78"/>
      <c r="H81" s="24">
        <f ca="1">SUM(H75:H80)</f>
        <v>2473.987262145466</v>
      </c>
      <c r="I81" s="333">
        <f t="shared" ref="I81:L81" ca="1" si="21">SUM(I75:I80)</f>
        <v>5255.7761043396386</v>
      </c>
      <c r="J81" s="333">
        <f t="shared" ca="1" si="21"/>
        <v>7792.9822220900323</v>
      </c>
      <c r="K81" s="24">
        <f t="shared" ca="1" si="21"/>
        <v>11548.802076235139</v>
      </c>
      <c r="L81" s="24">
        <f t="shared" ca="1" si="21"/>
        <v>16229.314112349226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">
      <c r="A82" s="1"/>
      <c r="B82" s="53"/>
      <c r="C82" s="53"/>
      <c r="D82" s="1"/>
      <c r="E82" s="77"/>
      <c r="F82" s="77"/>
      <c r="G82" s="78"/>
      <c r="H82" s="40"/>
      <c r="I82" s="338"/>
      <c r="J82" s="338"/>
      <c r="K82" s="40"/>
      <c r="L82" s="40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">
      <c r="A83" s="1"/>
      <c r="B83" s="53" t="s">
        <v>97</v>
      </c>
      <c r="C83" s="53"/>
      <c r="D83" s="1"/>
      <c r="E83" s="77"/>
      <c r="F83" s="77"/>
      <c r="G83" s="78"/>
      <c r="H83" s="56">
        <f>'P&amp;L'!F145</f>
        <v>-2451.4377812253119</v>
      </c>
      <c r="I83" s="332">
        <f>'P&amp;L'!G145</f>
        <v>-3206.8021319204272</v>
      </c>
      <c r="J83" s="332">
        <f>'P&amp;L'!H145</f>
        <v>-4194.9177711331977</v>
      </c>
      <c r="K83" s="56">
        <f>'P&amp;L'!I145</f>
        <v>-5487.5026218193161</v>
      </c>
      <c r="L83" s="56">
        <f>'P&amp;L'!J145</f>
        <v>-7178.3731332448397</v>
      </c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">
      <c r="A84" s="1"/>
      <c r="B84" s="58" t="s">
        <v>98</v>
      </c>
      <c r="C84" s="58"/>
      <c r="D84" s="1"/>
      <c r="E84" s="77"/>
      <c r="F84" s="77"/>
      <c r="G84" s="78"/>
      <c r="H84" s="24">
        <f>H83</f>
        <v>-2451.4377812253119</v>
      </c>
      <c r="I84" s="333">
        <f t="shared" ref="I84:L84" si="22">I83</f>
        <v>-3206.8021319204272</v>
      </c>
      <c r="J84" s="333">
        <f t="shared" si="22"/>
        <v>-4194.9177711331977</v>
      </c>
      <c r="K84" s="24">
        <f t="shared" si="22"/>
        <v>-5487.5026218193161</v>
      </c>
      <c r="L84" s="24">
        <f t="shared" si="22"/>
        <v>-7178.3731332448397</v>
      </c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">
      <c r="A85" s="1"/>
      <c r="B85" s="53"/>
      <c r="C85" s="53"/>
      <c r="D85" s="1"/>
      <c r="E85" s="77"/>
      <c r="F85" s="77"/>
      <c r="G85" s="78"/>
      <c r="H85" s="40"/>
      <c r="I85" s="338"/>
      <c r="J85" s="338"/>
      <c r="K85" s="40"/>
      <c r="L85" s="40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">
      <c r="A86" s="1"/>
      <c r="B86" s="58" t="s">
        <v>99</v>
      </c>
      <c r="C86" s="58"/>
      <c r="D86" s="23"/>
      <c r="E86" s="77"/>
      <c r="F86" s="77"/>
      <c r="G86" s="78"/>
      <c r="H86" s="63">
        <f ca="1">H81+H84</f>
        <v>22.54948092015411</v>
      </c>
      <c r="I86" s="335">
        <f t="shared" ref="I86:L86" ca="1" si="23">I81+I84</f>
        <v>2048.9739724192113</v>
      </c>
      <c r="J86" s="335">
        <f t="shared" ca="1" si="23"/>
        <v>3598.0644509568347</v>
      </c>
      <c r="K86" s="63">
        <f t="shared" ca="1" si="23"/>
        <v>6061.2994544158228</v>
      </c>
      <c r="L86" s="63">
        <f t="shared" ca="1" si="23"/>
        <v>9050.9409791043872</v>
      </c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">
      <c r="A87" s="1"/>
      <c r="B87" s="53"/>
      <c r="C87" s="53"/>
      <c r="D87" s="1"/>
      <c r="E87" s="77"/>
      <c r="F87" s="77"/>
      <c r="G87" s="78"/>
      <c r="H87" s="40"/>
      <c r="I87" s="338"/>
      <c r="J87" s="338"/>
      <c r="K87" s="40"/>
      <c r="L87" s="40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">
      <c r="A88" s="1"/>
      <c r="B88" s="53" t="s">
        <v>100</v>
      </c>
      <c r="C88" s="53"/>
      <c r="D88" s="1"/>
      <c r="E88" s="77"/>
      <c r="F88" s="77"/>
      <c r="G88" s="78"/>
      <c r="H88" s="40">
        <f>H114+H120</f>
        <v>-640.89</v>
      </c>
      <c r="I88" s="338">
        <f t="shared" ref="I88:L88" ca="1" si="24">I114+I120</f>
        <v>-640.89</v>
      </c>
      <c r="J88" s="338">
        <f t="shared" ca="1" si="24"/>
        <v>-640.89</v>
      </c>
      <c r="K88" s="40">
        <f t="shared" ca="1" si="24"/>
        <v>-640.89</v>
      </c>
      <c r="L88" s="40">
        <f t="shared" ca="1" si="24"/>
        <v>-640.89</v>
      </c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">
      <c r="A89" s="1"/>
      <c r="B89" s="53" t="s">
        <v>101</v>
      </c>
      <c r="C89" s="53"/>
      <c r="D89" s="1"/>
      <c r="E89" s="77"/>
      <c r="F89" s="77"/>
      <c r="G89" s="78"/>
      <c r="H89" s="26">
        <f>-H183</f>
        <v>-186.92625000000001</v>
      </c>
      <c r="I89" s="337">
        <f t="shared" ref="I89:L89" si="25">-I183</f>
        <v>-196.27256250000002</v>
      </c>
      <c r="J89" s="337">
        <f t="shared" si="25"/>
        <v>-206.08619062500003</v>
      </c>
      <c r="K89" s="26">
        <f t="shared" si="25"/>
        <v>-216.39050015625003</v>
      </c>
      <c r="L89" s="26">
        <f t="shared" si="25"/>
        <v>-227.21002516406253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">
      <c r="A90" s="1"/>
      <c r="B90" s="53" t="s">
        <v>102</v>
      </c>
      <c r="C90" s="53"/>
      <c r="D90" s="1"/>
      <c r="E90" s="77"/>
      <c r="F90" s="77"/>
      <c r="G90" s="78"/>
      <c r="H90" s="26">
        <f ca="1">H107+H115+H121</f>
        <v>805.26676907984574</v>
      </c>
      <c r="I90" s="337">
        <f t="shared" ref="I90:L90" ca="1" si="26">I107+I115+I121</f>
        <v>-1211.8114099192112</v>
      </c>
      <c r="J90" s="337">
        <f t="shared" ca="1" si="26"/>
        <v>-2751.088260331835</v>
      </c>
      <c r="K90" s="26">
        <f t="shared" ca="1" si="26"/>
        <v>-5204.0189542595726</v>
      </c>
      <c r="L90" s="26">
        <f t="shared" ca="1" si="26"/>
        <v>-8182.8409539403256</v>
      </c>
      <c r="M90" s="79"/>
      <c r="N90" s="1"/>
      <c r="O90" s="1"/>
      <c r="P90" s="1"/>
      <c r="Q90" s="1"/>
      <c r="R90" s="1"/>
      <c r="S90" s="1"/>
      <c r="T90" s="1"/>
      <c r="U90" s="1"/>
    </row>
    <row r="91" spans="1:21" x14ac:dyDescent="0.2">
      <c r="A91" s="1"/>
      <c r="B91" s="58" t="s">
        <v>103</v>
      </c>
      <c r="C91" s="58"/>
      <c r="D91" s="1"/>
      <c r="E91" s="77"/>
      <c r="F91" s="77"/>
      <c r="G91" s="78"/>
      <c r="H91" s="24">
        <f ca="1">SUM(H88:H90)</f>
        <v>-22.549480920154224</v>
      </c>
      <c r="I91" s="333">
        <f t="shared" ref="I91:L91" ca="1" si="27">SUM(I88:I90)</f>
        <v>-2048.9739724192113</v>
      </c>
      <c r="J91" s="333">
        <f t="shared" ca="1" si="27"/>
        <v>-3598.0644509568351</v>
      </c>
      <c r="K91" s="24">
        <f t="shared" ca="1" si="27"/>
        <v>-6061.2994544158228</v>
      </c>
      <c r="L91" s="24">
        <f t="shared" ca="1" si="27"/>
        <v>-9050.9409791043872</v>
      </c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">
      <c r="A92" s="1"/>
      <c r="B92" s="53"/>
      <c r="C92" s="53"/>
      <c r="D92" s="1"/>
      <c r="E92" s="37"/>
      <c r="F92" s="37"/>
      <c r="G92" s="80"/>
      <c r="H92" s="40"/>
      <c r="I92" s="338"/>
      <c r="J92" s="338"/>
      <c r="K92" s="40"/>
      <c r="L92" s="40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">
      <c r="A93" s="1"/>
      <c r="B93" s="1" t="s">
        <v>104</v>
      </c>
      <c r="C93" s="1"/>
      <c r="D93" s="1"/>
      <c r="E93" s="37"/>
      <c r="F93" s="37"/>
      <c r="G93" s="80"/>
      <c r="H93" s="40">
        <f>G190</f>
        <v>2000</v>
      </c>
      <c r="I93" s="338">
        <f ca="1">H95</f>
        <v>2000</v>
      </c>
      <c r="J93" s="338">
        <f t="shared" ref="J93:L93" ca="1" si="28">I95</f>
        <v>2000</v>
      </c>
      <c r="K93" s="40">
        <f t="shared" ca="1" si="28"/>
        <v>2000</v>
      </c>
      <c r="L93" s="40">
        <f t="shared" ca="1" si="28"/>
        <v>2000</v>
      </c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">
      <c r="A94" s="1"/>
      <c r="B94" s="1" t="s">
        <v>105</v>
      </c>
      <c r="C94" s="1"/>
      <c r="D94" s="1"/>
      <c r="E94" s="37"/>
      <c r="F94" s="37"/>
      <c r="G94" s="80"/>
      <c r="H94" s="40">
        <f ca="1">H86+H91</f>
        <v>-1.1368683772161603E-13</v>
      </c>
      <c r="I94" s="338">
        <f t="shared" ref="I94:L94" ca="1" si="29">I86+I91</f>
        <v>0</v>
      </c>
      <c r="J94" s="338">
        <f ca="1">J86+J91</f>
        <v>0</v>
      </c>
      <c r="K94" s="40">
        <f t="shared" ca="1" si="29"/>
        <v>0</v>
      </c>
      <c r="L94" s="40">
        <f t="shared" ca="1" si="29"/>
        <v>0</v>
      </c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">
      <c r="A95" s="1"/>
      <c r="B95" s="23" t="s">
        <v>106</v>
      </c>
      <c r="C95" s="1"/>
      <c r="D95" s="1"/>
      <c r="E95" s="37"/>
      <c r="F95" s="37"/>
      <c r="G95" s="80"/>
      <c r="H95" s="24">
        <f ca="1">SUM(H93:H94)</f>
        <v>2000</v>
      </c>
      <c r="I95" s="333">
        <f t="shared" ref="I95:L95" ca="1" si="30">SUM(I93:I94)</f>
        <v>2000</v>
      </c>
      <c r="J95" s="333">
        <f t="shared" ca="1" si="30"/>
        <v>2000</v>
      </c>
      <c r="K95" s="24">
        <f t="shared" ca="1" si="30"/>
        <v>2000</v>
      </c>
      <c r="L95" s="24">
        <f t="shared" ca="1" si="30"/>
        <v>2000</v>
      </c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">
      <c r="A98" s="2" t="s">
        <v>0</v>
      </c>
      <c r="B98" s="7" t="s">
        <v>107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">
      <c r="A99" s="1"/>
      <c r="B99" s="1"/>
      <c r="C99" s="1"/>
      <c r="D99" s="1"/>
      <c r="E99" s="81"/>
      <c r="F99" s="81"/>
      <c r="G99" s="51">
        <f>YEAR(G10)</f>
        <v>2022</v>
      </c>
      <c r="H99" s="52">
        <f>G99+1</f>
        <v>2023</v>
      </c>
      <c r="I99" s="329">
        <f t="shared" ref="I99:L99" si="31">H99+1</f>
        <v>2024</v>
      </c>
      <c r="J99" s="329">
        <f t="shared" si="31"/>
        <v>2025</v>
      </c>
      <c r="K99" s="52">
        <f t="shared" si="31"/>
        <v>2026</v>
      </c>
      <c r="L99" s="52">
        <f t="shared" si="31"/>
        <v>2027</v>
      </c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">
      <c r="A100" s="1"/>
      <c r="B100" s="1" t="s">
        <v>108</v>
      </c>
      <c r="C100" s="1"/>
      <c r="D100" s="1"/>
      <c r="E100" s="1"/>
      <c r="F100" s="1"/>
      <c r="G100" s="82"/>
      <c r="H100" s="33">
        <f ca="1">H86+SUM(H88:H89)</f>
        <v>-805.26676907984586</v>
      </c>
      <c r="I100" s="343">
        <f t="shared" ref="I100:L100" ca="1" si="32">I86+SUM(I88:I89)</f>
        <v>1211.8114099192112</v>
      </c>
      <c r="J100" s="343">
        <f t="shared" ca="1" si="32"/>
        <v>2751.0882603318346</v>
      </c>
      <c r="K100" s="33">
        <f t="shared" ca="1" si="32"/>
        <v>5204.0189542595726</v>
      </c>
      <c r="L100" s="33">
        <f t="shared" ca="1" si="32"/>
        <v>8182.8409539403247</v>
      </c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">
      <c r="A101" s="1"/>
      <c r="B101" s="1" t="s">
        <v>109</v>
      </c>
      <c r="C101" s="1"/>
      <c r="D101" s="1"/>
      <c r="E101" s="1"/>
      <c r="F101" s="1"/>
      <c r="G101" s="83"/>
      <c r="H101" s="40">
        <f>H93</f>
        <v>2000</v>
      </c>
      <c r="I101" s="338">
        <f t="shared" ref="I101:L101" ca="1" si="33">I93</f>
        <v>2000</v>
      </c>
      <c r="J101" s="338">
        <f t="shared" ca="1" si="33"/>
        <v>2000</v>
      </c>
      <c r="K101" s="40">
        <f t="shared" ca="1" si="33"/>
        <v>2000</v>
      </c>
      <c r="L101" s="40">
        <f t="shared" ca="1" si="33"/>
        <v>2000</v>
      </c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">
      <c r="A102" s="1"/>
      <c r="B102" s="1" t="s">
        <v>110</v>
      </c>
      <c r="C102" s="1"/>
      <c r="D102" s="1"/>
      <c r="E102" s="1"/>
      <c r="F102" s="1"/>
      <c r="G102" s="83"/>
      <c r="H102" s="40">
        <f>-$F$21</f>
        <v>-2000</v>
      </c>
      <c r="I102" s="338">
        <f t="shared" ref="I102:L102" si="34">-$F$21</f>
        <v>-2000</v>
      </c>
      <c r="J102" s="338">
        <f t="shared" si="34"/>
        <v>-2000</v>
      </c>
      <c r="K102" s="40">
        <f t="shared" si="34"/>
        <v>-2000</v>
      </c>
      <c r="L102" s="40">
        <f t="shared" si="34"/>
        <v>-2000</v>
      </c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">
      <c r="A103" s="1"/>
      <c r="B103" s="23" t="s">
        <v>111</v>
      </c>
      <c r="C103" s="23"/>
      <c r="D103" s="23"/>
      <c r="E103" s="23"/>
      <c r="F103" s="23"/>
      <c r="G103" s="84"/>
      <c r="H103" s="85">
        <f ca="1">SUM(H100:H102)</f>
        <v>-805.26676907984574</v>
      </c>
      <c r="I103" s="333">
        <f t="shared" ref="I103:L103" ca="1" si="35">SUM(I100:I102)</f>
        <v>1211.8114099192112</v>
      </c>
      <c r="J103" s="333">
        <f t="shared" ca="1" si="35"/>
        <v>2751.088260331835</v>
      </c>
      <c r="K103" s="24">
        <f t="shared" ca="1" si="35"/>
        <v>5204.0189542595726</v>
      </c>
      <c r="L103" s="24">
        <f t="shared" ca="1" si="35"/>
        <v>8182.8409539403256</v>
      </c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">
      <c r="A104" s="1"/>
      <c r="B104" s="1"/>
      <c r="C104" s="1"/>
      <c r="D104" s="1"/>
      <c r="E104" s="1"/>
      <c r="F104" s="1"/>
      <c r="G104" s="83"/>
      <c r="H104" s="1"/>
      <c r="I104" s="339"/>
      <c r="J104" s="33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">
      <c r="A105" s="1"/>
      <c r="B105" s="43" t="s">
        <v>112</v>
      </c>
      <c r="C105" s="1"/>
      <c r="D105" s="1"/>
      <c r="E105" s="1"/>
      <c r="F105" s="1"/>
      <c r="G105" s="83"/>
      <c r="H105" s="1"/>
      <c r="I105" s="339"/>
      <c r="J105" s="33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">
      <c r="A106" s="1"/>
      <c r="B106" s="1" t="s">
        <v>113</v>
      </c>
      <c r="C106" s="1"/>
      <c r="D106" s="1"/>
      <c r="E106" s="1"/>
      <c r="F106" s="1"/>
      <c r="G106" s="83"/>
      <c r="H106" s="40">
        <f>G108</f>
        <v>0</v>
      </c>
      <c r="I106" s="338">
        <f t="shared" ref="I106:L106" ca="1" si="36">H108</f>
        <v>805.26676907984574</v>
      </c>
      <c r="J106" s="338">
        <f t="shared" ca="1" si="36"/>
        <v>0</v>
      </c>
      <c r="K106" s="40">
        <f t="shared" ca="1" si="36"/>
        <v>0</v>
      </c>
      <c r="L106" s="40">
        <f t="shared" ca="1" si="36"/>
        <v>0</v>
      </c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">
      <c r="A107" s="1"/>
      <c r="B107" s="1" t="s">
        <v>114</v>
      </c>
      <c r="C107" s="1"/>
      <c r="D107" s="1"/>
      <c r="E107" s="1"/>
      <c r="F107" s="1"/>
      <c r="G107" s="83"/>
      <c r="H107" s="40">
        <f ca="1">-MIN(H103,H106)</f>
        <v>805.26676907984574</v>
      </c>
      <c r="I107" s="338">
        <f t="shared" ref="I107:L107" ca="1" si="37">-MIN(I103,I106)</f>
        <v>-805.26676907984574</v>
      </c>
      <c r="J107" s="338">
        <f t="shared" ca="1" si="37"/>
        <v>0</v>
      </c>
      <c r="K107" s="40">
        <f t="shared" ca="1" si="37"/>
        <v>0</v>
      </c>
      <c r="L107" s="40">
        <f t="shared" ca="1" si="37"/>
        <v>0</v>
      </c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">
      <c r="A108" s="1"/>
      <c r="B108" s="1" t="s">
        <v>115</v>
      </c>
      <c r="C108" s="1"/>
      <c r="D108" s="1"/>
      <c r="E108" s="1"/>
      <c r="F108" s="1"/>
      <c r="G108" s="62">
        <f>K42</f>
        <v>0</v>
      </c>
      <c r="H108" s="61">
        <f ca="1">SUM(H106:H107)</f>
        <v>805.26676907984574</v>
      </c>
      <c r="I108" s="334">
        <f t="shared" ref="I108:L108" ca="1" si="38">SUM(I106:I107)</f>
        <v>0</v>
      </c>
      <c r="J108" s="334">
        <f t="shared" ca="1" si="38"/>
        <v>0</v>
      </c>
      <c r="K108" s="61">
        <f t="shared" ca="1" si="38"/>
        <v>0</v>
      </c>
      <c r="L108" s="61">
        <f t="shared" ca="1" si="38"/>
        <v>0</v>
      </c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">
      <c r="A109" s="1"/>
      <c r="B109" s="1" t="s">
        <v>116</v>
      </c>
      <c r="C109" s="1"/>
      <c r="D109" s="1"/>
      <c r="E109" s="86">
        <f>C32</f>
        <v>7000</v>
      </c>
      <c r="F109" s="1"/>
      <c r="G109" s="83"/>
      <c r="H109" s="40">
        <f ca="1">$E$109-H108</f>
        <v>6194.7332309201538</v>
      </c>
      <c r="I109" s="338">
        <f t="shared" ref="I109:L109" ca="1" si="39">$E$109-I108</f>
        <v>7000</v>
      </c>
      <c r="J109" s="338">
        <f t="shared" ca="1" si="39"/>
        <v>7000</v>
      </c>
      <c r="K109" s="40">
        <f t="shared" ca="1" si="39"/>
        <v>7000</v>
      </c>
      <c r="L109" s="40">
        <f t="shared" ca="1" si="39"/>
        <v>7000</v>
      </c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">
      <c r="A110" s="1"/>
      <c r="B110" s="1" t="s">
        <v>117</v>
      </c>
      <c r="C110" s="1"/>
      <c r="D110" s="1"/>
      <c r="E110" s="33"/>
      <c r="F110" s="1"/>
      <c r="G110" s="83"/>
      <c r="H110" s="87">
        <f ca="1">IF(H109&lt;0,1,0)</f>
        <v>0</v>
      </c>
      <c r="I110" s="340">
        <f t="shared" ref="I110:L110" ca="1" si="40">IF(I109&lt;0,1,0)</f>
        <v>0</v>
      </c>
      <c r="J110" s="340">
        <f t="shared" ca="1" si="40"/>
        <v>0</v>
      </c>
      <c r="K110" s="87">
        <f t="shared" ca="1" si="40"/>
        <v>0</v>
      </c>
      <c r="L110" s="87">
        <f t="shared" ca="1" si="40"/>
        <v>0</v>
      </c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">
      <c r="A111" s="1"/>
      <c r="B111" s="1"/>
      <c r="C111" s="1"/>
      <c r="D111" s="1"/>
      <c r="E111" s="1"/>
      <c r="F111" s="1"/>
      <c r="G111" s="83"/>
      <c r="H111" s="1"/>
      <c r="I111" s="339"/>
      <c r="J111" s="33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">
      <c r="A112" s="1"/>
      <c r="B112" s="43" t="s">
        <v>118</v>
      </c>
      <c r="C112" s="1"/>
      <c r="D112" s="1"/>
      <c r="E112" s="1"/>
      <c r="F112" s="1"/>
      <c r="G112" s="83"/>
      <c r="H112" s="1"/>
      <c r="I112" s="339"/>
      <c r="J112" s="33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">
      <c r="A113" s="1"/>
      <c r="B113" s="1" t="s">
        <v>113</v>
      </c>
      <c r="C113" s="1"/>
      <c r="D113" s="1"/>
      <c r="E113" s="1"/>
      <c r="F113" s="1"/>
      <c r="G113" s="83"/>
      <c r="H113" s="40">
        <f>G116</f>
        <v>32044.5</v>
      </c>
      <c r="I113" s="338">
        <f t="shared" ref="I113:L113" ca="1" si="41">H116</f>
        <v>31403.61</v>
      </c>
      <c r="J113" s="338">
        <f t="shared" ca="1" si="41"/>
        <v>30356.175359160636</v>
      </c>
      <c r="K113" s="40">
        <f t="shared" ca="1" si="41"/>
        <v>26964.197098828801</v>
      </c>
      <c r="L113" s="40">
        <f t="shared" ca="1" si="41"/>
        <v>21119.288144569229</v>
      </c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">
      <c r="A114" s="1"/>
      <c r="B114" s="1" t="s">
        <v>100</v>
      </c>
      <c r="C114" s="1"/>
      <c r="D114" s="1"/>
      <c r="E114" s="88">
        <v>0.02</v>
      </c>
      <c r="F114" s="1"/>
      <c r="G114" s="83"/>
      <c r="H114" s="40">
        <f>-MIN($G116*$E114,H113)</f>
        <v>-640.89</v>
      </c>
      <c r="I114" s="338">
        <f t="shared" ref="I114:L114" ca="1" si="42">-MIN($G116*$E114,I113)</f>
        <v>-640.89</v>
      </c>
      <c r="J114" s="338">
        <f t="shared" ca="1" si="42"/>
        <v>-640.89</v>
      </c>
      <c r="K114" s="40">
        <f t="shared" ca="1" si="42"/>
        <v>-640.89</v>
      </c>
      <c r="L114" s="40">
        <f t="shared" ca="1" si="42"/>
        <v>-640.89</v>
      </c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">
      <c r="A115" s="1"/>
      <c r="B115" s="1" t="s">
        <v>119</v>
      </c>
      <c r="C115" s="1"/>
      <c r="D115" s="1"/>
      <c r="E115" s="89">
        <v>1</v>
      </c>
      <c r="F115" s="1"/>
      <c r="G115" s="83"/>
      <c r="H115" s="40">
        <f ca="1">-MIN(H103+H107,H113+H114)*$E$115</f>
        <v>0</v>
      </c>
      <c r="I115" s="338">
        <f t="shared" ref="I115:L115" ca="1" si="43">-MIN(I103+I107,I113+I114)*$E$115</f>
        <v>-406.54464083936546</v>
      </c>
      <c r="J115" s="338">
        <f t="shared" ca="1" si="43"/>
        <v>-2751.088260331835</v>
      </c>
      <c r="K115" s="40">
        <f t="shared" ca="1" si="43"/>
        <v>-5204.0189542595726</v>
      </c>
      <c r="L115" s="40">
        <f t="shared" ca="1" si="43"/>
        <v>-8182.8409539403256</v>
      </c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">
      <c r="A116" s="1"/>
      <c r="B116" s="1" t="s">
        <v>115</v>
      </c>
      <c r="C116" s="1"/>
      <c r="D116" s="1"/>
      <c r="E116" s="1"/>
      <c r="F116" s="1"/>
      <c r="G116" s="62">
        <f>K43</f>
        <v>32044.5</v>
      </c>
      <c r="H116" s="351">
        <f ca="1">SUM(H113:H115)</f>
        <v>31403.61</v>
      </c>
      <c r="I116" s="334">
        <f t="shared" ref="I116:L116" ca="1" si="44">SUM(I113:I115)</f>
        <v>30356.175359160636</v>
      </c>
      <c r="J116" s="334">
        <f t="shared" ca="1" si="44"/>
        <v>26964.197098828801</v>
      </c>
      <c r="K116" s="61">
        <f t="shared" ca="1" si="44"/>
        <v>21119.288144569229</v>
      </c>
      <c r="L116" s="61">
        <f t="shared" ca="1" si="44"/>
        <v>12295.557190628904</v>
      </c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">
      <c r="A117" s="1"/>
      <c r="B117" s="1"/>
      <c r="C117" s="1"/>
      <c r="D117" s="1"/>
      <c r="E117" s="1"/>
      <c r="F117" s="1"/>
      <c r="G117" s="83"/>
      <c r="H117" s="1"/>
      <c r="I117" s="339"/>
      <c r="J117" s="33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">
      <c r="A118" s="1"/>
      <c r="B118" s="43" t="s">
        <v>120</v>
      </c>
      <c r="C118" s="1"/>
      <c r="D118" s="1"/>
      <c r="E118" s="1"/>
      <c r="F118" s="1"/>
      <c r="G118" s="83"/>
      <c r="H118" s="1"/>
      <c r="I118" s="339"/>
      <c r="J118" s="33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">
      <c r="A119" s="1"/>
      <c r="B119" s="1" t="s">
        <v>113</v>
      </c>
      <c r="C119" s="1"/>
      <c r="D119" s="1"/>
      <c r="E119" s="1"/>
      <c r="F119" s="1"/>
      <c r="G119" s="83"/>
      <c r="H119" s="40">
        <f>G122</f>
        <v>10681.5</v>
      </c>
      <c r="I119" s="338">
        <f t="shared" ref="I119:L119" ca="1" si="45">H122</f>
        <v>10681.5</v>
      </c>
      <c r="J119" s="338">
        <f t="shared" ca="1" si="45"/>
        <v>10681.5</v>
      </c>
      <c r="K119" s="40">
        <f t="shared" ca="1" si="45"/>
        <v>10681.5</v>
      </c>
      <c r="L119" s="40">
        <f t="shared" ca="1" si="45"/>
        <v>10681.5</v>
      </c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">
      <c r="A120" s="1"/>
      <c r="B120" s="1" t="s">
        <v>100</v>
      </c>
      <c r="C120" s="1"/>
      <c r="D120" s="1"/>
      <c r="E120" s="90">
        <v>0</v>
      </c>
      <c r="F120" s="1"/>
      <c r="G120" s="83"/>
      <c r="H120" s="40">
        <f>-MIN($G122*$E120,H119)</f>
        <v>0</v>
      </c>
      <c r="I120" s="338">
        <f t="shared" ref="I120" ca="1" si="46">-MIN($G122*$E120,I119)</f>
        <v>0</v>
      </c>
      <c r="J120" s="338">
        <f t="shared" ref="J120" ca="1" si="47">-MIN($G122*$E120,J119)</f>
        <v>0</v>
      </c>
      <c r="K120" s="40">
        <f t="shared" ref="K120" ca="1" si="48">-MIN($G122*$E120,K119)</f>
        <v>0</v>
      </c>
      <c r="L120" s="40">
        <f t="shared" ref="L120" ca="1" si="49">-MIN($G122*$E120,L119)</f>
        <v>0</v>
      </c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">
      <c r="A121" s="1"/>
      <c r="B121" s="1" t="s">
        <v>119</v>
      </c>
      <c r="C121" s="1"/>
      <c r="D121" s="1"/>
      <c r="E121" s="89">
        <v>0</v>
      </c>
      <c r="F121" s="1"/>
      <c r="G121" s="83"/>
      <c r="H121" s="40">
        <f ca="1">-MIN(H103+H107+H115,H119+H120)*$E$121</f>
        <v>0</v>
      </c>
      <c r="I121" s="338">
        <f t="shared" ref="I121:L121" ca="1" si="50">-MIN(I103+I107+I115,I119+I120)*$E$121</f>
        <v>0</v>
      </c>
      <c r="J121" s="338">
        <f t="shared" ca="1" si="50"/>
        <v>0</v>
      </c>
      <c r="K121" s="40">
        <f t="shared" ca="1" si="50"/>
        <v>0</v>
      </c>
      <c r="L121" s="40">
        <f t="shared" ca="1" si="50"/>
        <v>0</v>
      </c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">
      <c r="A122" s="1"/>
      <c r="B122" s="1" t="s">
        <v>115</v>
      </c>
      <c r="C122" s="1"/>
      <c r="D122" s="1"/>
      <c r="E122" s="1"/>
      <c r="F122" s="1"/>
      <c r="G122" s="62">
        <f>K44</f>
        <v>10681.5</v>
      </c>
      <c r="H122" s="61">
        <f ca="1">SUM(H119:H121)</f>
        <v>10681.5</v>
      </c>
      <c r="I122" s="334">
        <f t="shared" ref="I122:L122" ca="1" si="51">SUM(I119:I121)</f>
        <v>10681.5</v>
      </c>
      <c r="J122" s="334">
        <f t="shared" ca="1" si="51"/>
        <v>10681.5</v>
      </c>
      <c r="K122" s="61">
        <f t="shared" ca="1" si="51"/>
        <v>10681.5</v>
      </c>
      <c r="L122" s="61">
        <f t="shared" ca="1" si="51"/>
        <v>10681.5</v>
      </c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">
      <c r="A123" s="1"/>
      <c r="B123" s="1"/>
      <c r="C123" s="1"/>
      <c r="D123" s="1"/>
      <c r="E123" s="1"/>
      <c r="F123" s="1"/>
      <c r="G123" s="83"/>
      <c r="H123" s="1"/>
      <c r="I123" s="339"/>
      <c r="J123" s="33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">
      <c r="A124" s="1"/>
      <c r="B124" s="43" t="s">
        <v>121</v>
      </c>
      <c r="C124" s="1"/>
      <c r="D124" s="1"/>
      <c r="E124" s="1"/>
      <c r="F124" s="1"/>
      <c r="G124" s="83"/>
      <c r="H124" s="1"/>
      <c r="I124" s="339"/>
      <c r="J124" s="33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">
      <c r="A125" s="1"/>
      <c r="B125" s="1" t="s">
        <v>113</v>
      </c>
      <c r="C125" s="1"/>
      <c r="D125" s="1"/>
      <c r="E125" s="1"/>
      <c r="F125" s="1"/>
      <c r="G125" s="83"/>
      <c r="H125" s="40">
        <f>G127</f>
        <v>8901.25</v>
      </c>
      <c r="I125" s="338">
        <f>H127</f>
        <v>9090.4015624999993</v>
      </c>
      <c r="J125" s="338">
        <f t="shared" ref="J125:L125" si="52">I127</f>
        <v>9283.5725957031245</v>
      </c>
      <c r="K125" s="40">
        <f t="shared" si="52"/>
        <v>9480.848513361816</v>
      </c>
      <c r="L125" s="40">
        <f t="shared" si="52"/>
        <v>9682.3165442707541</v>
      </c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">
      <c r="A126" s="1"/>
      <c r="B126" s="1" t="s">
        <v>122</v>
      </c>
      <c r="C126" s="1"/>
      <c r="D126" s="1"/>
      <c r="E126" s="1"/>
      <c r="F126" s="1"/>
      <c r="G126" s="83"/>
      <c r="H126" s="40">
        <f>H168</f>
        <v>189.15156250000001</v>
      </c>
      <c r="I126" s="338">
        <f t="shared" ref="I126:L126" si="53">I168</f>
        <v>193.17103320312501</v>
      </c>
      <c r="J126" s="338">
        <f t="shared" si="53"/>
        <v>197.27591765869141</v>
      </c>
      <c r="K126" s="40">
        <f t="shared" si="53"/>
        <v>201.4680309089386</v>
      </c>
      <c r="L126" s="40">
        <f t="shared" si="53"/>
        <v>205.74922656575353</v>
      </c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">
      <c r="A127" s="1"/>
      <c r="B127" s="1" t="s">
        <v>115</v>
      </c>
      <c r="C127" s="1"/>
      <c r="D127" s="1"/>
      <c r="E127" s="1"/>
      <c r="F127" s="1"/>
      <c r="G127" s="62">
        <f>K45</f>
        <v>8901.25</v>
      </c>
      <c r="H127" s="61">
        <f>SUM(H125:H126)</f>
        <v>9090.4015624999993</v>
      </c>
      <c r="I127" s="334">
        <f t="shared" ref="I127:L127" si="54">SUM(I125:I126)</f>
        <v>9283.5725957031245</v>
      </c>
      <c r="J127" s="334">
        <f t="shared" si="54"/>
        <v>9480.848513361816</v>
      </c>
      <c r="K127" s="61">
        <f t="shared" si="54"/>
        <v>9682.3165442707541</v>
      </c>
      <c r="L127" s="61">
        <f t="shared" si="54"/>
        <v>9888.065770836507</v>
      </c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">
      <c r="A128" s="1"/>
      <c r="B128" s="1"/>
      <c r="C128" s="1"/>
      <c r="D128" s="1"/>
      <c r="E128" s="1"/>
      <c r="F128" s="1"/>
      <c r="G128" s="83"/>
      <c r="H128" s="1"/>
      <c r="I128" s="339"/>
      <c r="J128" s="33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">
      <c r="A129" s="1"/>
      <c r="B129" s="43" t="s">
        <v>123</v>
      </c>
      <c r="C129" s="1"/>
      <c r="D129" s="1"/>
      <c r="E129" s="1"/>
      <c r="F129" s="1"/>
      <c r="G129" s="83"/>
      <c r="H129" s="1"/>
      <c r="I129" s="339"/>
      <c r="J129" s="33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">
      <c r="A130" s="1"/>
      <c r="B130" s="1" t="s">
        <v>113</v>
      </c>
      <c r="C130" s="1"/>
      <c r="D130" s="1"/>
      <c r="E130" s="1"/>
      <c r="F130" s="1"/>
      <c r="G130" s="83"/>
      <c r="H130" s="40">
        <f>G132</f>
        <v>1780.25</v>
      </c>
      <c r="I130" s="338">
        <f t="shared" ref="I130:L130" si="55">H132</f>
        <v>1869.2625</v>
      </c>
      <c r="J130" s="338">
        <f t="shared" si="55"/>
        <v>1962.725625</v>
      </c>
      <c r="K130" s="40">
        <f t="shared" si="55"/>
        <v>2060.8619062500002</v>
      </c>
      <c r="L130" s="40">
        <f t="shared" si="55"/>
        <v>2163.9050015625003</v>
      </c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">
      <c r="A131" s="1"/>
      <c r="B131" s="1" t="s">
        <v>124</v>
      </c>
      <c r="C131" s="1"/>
      <c r="D131" s="1"/>
      <c r="E131" s="91">
        <f>H36</f>
        <v>0.05</v>
      </c>
      <c r="F131" s="1"/>
      <c r="G131" s="83"/>
      <c r="H131" s="40">
        <f>$E$131*H130</f>
        <v>89.012500000000003</v>
      </c>
      <c r="I131" s="338">
        <f t="shared" ref="I131:L131" si="56">$E$131*I130</f>
        <v>93.463125000000005</v>
      </c>
      <c r="J131" s="338">
        <f t="shared" si="56"/>
        <v>98.13628125000001</v>
      </c>
      <c r="K131" s="40">
        <f t="shared" si="56"/>
        <v>103.04309531250001</v>
      </c>
      <c r="L131" s="40">
        <f t="shared" si="56"/>
        <v>108.19525007812501</v>
      </c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">
      <c r="A132" s="1"/>
      <c r="B132" s="1" t="s">
        <v>115</v>
      </c>
      <c r="C132" s="1"/>
      <c r="D132" s="1"/>
      <c r="E132" s="1"/>
      <c r="F132" s="1"/>
      <c r="G132" s="62">
        <f>K46</f>
        <v>1780.25</v>
      </c>
      <c r="H132" s="61">
        <f>SUM(H130:H131)</f>
        <v>1869.2625</v>
      </c>
      <c r="I132" s="334">
        <f t="shared" ref="I132:L132" si="57">SUM(I130:I131)</f>
        <v>1962.725625</v>
      </c>
      <c r="J132" s="334">
        <f t="shared" si="57"/>
        <v>2060.8619062500002</v>
      </c>
      <c r="K132" s="61">
        <f t="shared" si="57"/>
        <v>2163.9050015625003</v>
      </c>
      <c r="L132" s="61">
        <f t="shared" si="57"/>
        <v>2272.1002516406252</v>
      </c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">
      <c r="A133" s="1"/>
      <c r="B133" s="1"/>
      <c r="C133" s="1"/>
      <c r="D133" s="1"/>
      <c r="E133" s="1"/>
      <c r="F133" s="1"/>
      <c r="G133" s="8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">
      <c r="A134" s="1"/>
      <c r="B134" s="1"/>
      <c r="C134" s="1"/>
      <c r="D134" s="1"/>
      <c r="E134" s="1"/>
      <c r="F134" s="1"/>
      <c r="G134" s="8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">
      <c r="A135" s="2" t="s">
        <v>0</v>
      </c>
      <c r="B135" s="7" t="s">
        <v>125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">
      <c r="A136" s="1"/>
      <c r="B136" s="1"/>
      <c r="C136" s="1"/>
      <c r="D136" s="1"/>
      <c r="E136" s="81"/>
      <c r="F136" s="81"/>
      <c r="G136" s="51">
        <f>YEAR(G10)</f>
        <v>2022</v>
      </c>
      <c r="H136" s="52">
        <f>G136+1</f>
        <v>2023</v>
      </c>
      <c r="I136" s="329">
        <f t="shared" ref="I136:L136" si="58">H136+1</f>
        <v>2024</v>
      </c>
      <c r="J136" s="329">
        <f t="shared" si="58"/>
        <v>2025</v>
      </c>
      <c r="K136" s="52">
        <f t="shared" si="58"/>
        <v>2026</v>
      </c>
      <c r="L136" s="52">
        <f t="shared" si="58"/>
        <v>2027</v>
      </c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">
      <c r="A137" s="1"/>
      <c r="B137" s="1" t="s">
        <v>126</v>
      </c>
      <c r="C137" s="1"/>
      <c r="D137" s="1"/>
      <c r="E137" s="1"/>
      <c r="F137" s="1"/>
      <c r="G137" s="92">
        <f>G147/G149</f>
        <v>7.25</v>
      </c>
      <c r="H137" s="48">
        <f t="shared" ref="H137:L137" ca="1" si="59">H147/H149</f>
        <v>5.5802094954953665</v>
      </c>
      <c r="I137" s="341">
        <f t="shared" ca="1" si="59"/>
        <v>4.1295986012829182</v>
      </c>
      <c r="J137" s="341">
        <f t="shared" ca="1" si="59"/>
        <v>2.9564514777712763</v>
      </c>
      <c r="K137" s="48">
        <f t="shared" ca="1" si="59"/>
        <v>1.9894137374701517</v>
      </c>
      <c r="L137" s="48">
        <f t="shared" ca="1" si="59"/>
        <v>1.2048634580043831</v>
      </c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">
      <c r="A138" s="1"/>
      <c r="B138" s="1" t="s">
        <v>127</v>
      </c>
      <c r="C138" s="1"/>
      <c r="D138" s="1"/>
      <c r="E138" s="1"/>
      <c r="F138" s="1"/>
      <c r="G138" s="92">
        <f>G148/G149</f>
        <v>6.9691405701446429</v>
      </c>
      <c r="H138" s="48">
        <f t="shared" ref="H138:L138" ca="1" si="60">H148/H149</f>
        <v>5.3655066890117924</v>
      </c>
      <c r="I138" s="341">
        <f t="shared" ca="1" si="60"/>
        <v>3.9654691820369168</v>
      </c>
      <c r="J138" s="341">
        <f t="shared" ca="1" si="60"/>
        <v>2.8309828511462642</v>
      </c>
      <c r="K138" s="48">
        <f t="shared" ca="1" si="60"/>
        <v>1.8934993283441948</v>
      </c>
      <c r="L138" s="48">
        <f t="shared" ca="1" si="60"/>
        <v>1.1315417510132306</v>
      </c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">
      <c r="A139" s="1"/>
      <c r="B139" s="1" t="s">
        <v>128</v>
      </c>
      <c r="C139" s="1"/>
      <c r="D139" s="1"/>
      <c r="E139" s="1"/>
      <c r="F139" s="1"/>
      <c r="G139" s="60"/>
      <c r="H139" s="48">
        <f ca="1">H148/(H149+H152)</f>
        <v>7.2818321197737692</v>
      </c>
      <c r="I139" s="341">
        <f t="shared" ref="I139:L139" ca="1" si="61">I148/(I149+I152)</f>
        <v>5.3817621584305089</v>
      </c>
      <c r="J139" s="341">
        <f t="shared" ca="1" si="61"/>
        <v>3.8420866939227265</v>
      </c>
      <c r="K139" s="48">
        <f t="shared" ca="1" si="61"/>
        <v>2.5697748650922447</v>
      </c>
      <c r="L139" s="48">
        <f t="shared" ca="1" si="61"/>
        <v>1.5356792088746358</v>
      </c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">
      <c r="A140" s="1"/>
      <c r="B140" s="1" t="s">
        <v>129</v>
      </c>
      <c r="C140" s="1"/>
      <c r="D140" s="1"/>
      <c r="E140" s="1"/>
      <c r="F140" s="1"/>
      <c r="G140" s="60"/>
      <c r="H140" s="20">
        <f ca="1">H149/H150</f>
        <v>1.7690346417336125</v>
      </c>
      <c r="I140" s="342">
        <f t="shared" ref="I140:L140" ca="1" si="62">I149/I150</f>
        <v>2.688206839078203</v>
      </c>
      <c r="J140" s="342">
        <f t="shared" ca="1" si="62"/>
        <v>3.9487899893920275</v>
      </c>
      <c r="K140" s="20">
        <f t="shared" ca="1" si="62"/>
        <v>5.4962368266492314</v>
      </c>
      <c r="L140" s="20">
        <f t="shared" ca="1" si="62"/>
        <v>7.9614837833080436</v>
      </c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">
      <c r="A141" s="1"/>
      <c r="B141" s="1" t="s">
        <v>130</v>
      </c>
      <c r="C141" s="1"/>
      <c r="D141" s="1"/>
      <c r="E141" s="1"/>
      <c r="F141" s="1"/>
      <c r="G141" s="60"/>
      <c r="H141" s="20">
        <f ca="1">H149/H151</f>
        <v>1.8349486798267172</v>
      </c>
      <c r="I141" s="342">
        <f t="shared" ref="I141:L141" ca="1" si="63">I149/I151</f>
        <v>2.807863567174492</v>
      </c>
      <c r="J141" s="342">
        <f t="shared" ca="1" si="63"/>
        <v>4.1516831754356547</v>
      </c>
      <c r="K141" s="20">
        <f t="shared" ca="1" si="63"/>
        <v>5.8044764707768159</v>
      </c>
      <c r="L141" s="20">
        <f t="shared" ca="1" si="63"/>
        <v>8.4701412829499176</v>
      </c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">
      <c r="A142" s="1"/>
      <c r="B142" s="1" t="s">
        <v>131</v>
      </c>
      <c r="C142" s="1"/>
      <c r="D142" s="1"/>
      <c r="E142" s="1"/>
      <c r="F142" s="1"/>
      <c r="G142" s="60"/>
      <c r="H142" s="20">
        <f ca="1">(H149+H152+H155+H154)/(H151+H153)</f>
        <v>0.88922648453362718</v>
      </c>
      <c r="I142" s="342">
        <f t="shared" ref="I142:L142" ca="1" si="64">(I149+I152+I155+I154)/(I151+I153)</f>
        <v>1.2796981931996658</v>
      </c>
      <c r="J142" s="342">
        <f t="shared" ca="1" si="64"/>
        <v>1.6566834172916605</v>
      </c>
      <c r="K142" s="20">
        <f t="shared" ca="1" si="64"/>
        <v>2.276885444551175</v>
      </c>
      <c r="L142" s="20">
        <f t="shared" ca="1" si="64"/>
        <v>3.1741697860494194</v>
      </c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">
      <c r="A143" s="1"/>
      <c r="B143" s="1" t="s">
        <v>132</v>
      </c>
      <c r="C143" s="1"/>
      <c r="D143" s="1"/>
      <c r="E143" s="1"/>
      <c r="F143" s="1"/>
      <c r="G143" s="60"/>
      <c r="H143" s="93">
        <f ca="1">H156/H147</f>
        <v>4.3380421848078873E-4</v>
      </c>
      <c r="I143" s="152">
        <f t="shared" ref="I143:L143" ca="1" si="65">I156/I147</f>
        <v>4.0717868806772493E-2</v>
      </c>
      <c r="J143" s="152">
        <f t="shared" ca="1" si="65"/>
        <v>7.6348996180744755E-2</v>
      </c>
      <c r="K143" s="93">
        <f t="shared" ca="1" si="65"/>
        <v>0.14611489424142515</v>
      </c>
      <c r="L143" s="93">
        <f t="shared" ca="1" si="65"/>
        <v>0.27539653479211618</v>
      </c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">
      <c r="A144" s="1"/>
      <c r="B144" s="1" t="s">
        <v>133</v>
      </c>
      <c r="C144" s="1"/>
      <c r="D144" s="1"/>
      <c r="E144" s="1"/>
      <c r="F144" s="1"/>
      <c r="G144" s="94"/>
      <c r="H144" s="93">
        <f ca="1">1-H147/G147</f>
        <v>-6.8477079755331349E-3</v>
      </c>
      <c r="I144" s="152">
        <f t="shared" ref="I144:L144" ca="1" si="66">1-I147/H147</f>
        <v>3.192584701464285E-2</v>
      </c>
      <c r="J144" s="152">
        <f t="shared" ca="1" si="66"/>
        <v>6.3486150930491037E-2</v>
      </c>
      <c r="K144" s="93">
        <f t="shared" ca="1" si="66"/>
        <v>0.11975078695118269</v>
      </c>
      <c r="L144" s="93">
        <f t="shared" ca="1" si="66"/>
        <v>0.20774678732503427</v>
      </c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">
      <c r="A145" s="1"/>
      <c r="B145" s="1"/>
      <c r="C145" s="1"/>
      <c r="D145" s="1"/>
      <c r="E145" s="1"/>
      <c r="F145" s="1"/>
      <c r="G145" s="83"/>
      <c r="H145" s="1"/>
      <c r="I145" s="339"/>
      <c r="J145" s="33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">
      <c r="A146" s="1"/>
      <c r="B146" s="43" t="s">
        <v>134</v>
      </c>
      <c r="C146" s="1"/>
      <c r="D146" s="1"/>
      <c r="E146" s="1"/>
      <c r="F146" s="1"/>
      <c r="G146" s="83"/>
      <c r="H146" s="1"/>
      <c r="I146" s="339"/>
      <c r="J146" s="33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">
      <c r="A147" s="1"/>
      <c r="B147" s="1" t="s">
        <v>61</v>
      </c>
      <c r="C147" s="1"/>
      <c r="D147" s="1"/>
      <c r="E147" s="1"/>
      <c r="F147" s="1"/>
      <c r="G147" s="95">
        <f>G108+G116+G122+G127</f>
        <v>51627.25</v>
      </c>
      <c r="H147" s="352">
        <f t="shared" ref="H147:L147" ca="1" si="67">H108+H116+H122+H127</f>
        <v>51980.778331579844</v>
      </c>
      <c r="I147" s="343">
        <f t="shared" ca="1" si="67"/>
        <v>50321.247954863764</v>
      </c>
      <c r="J147" s="343">
        <f t="shared" ca="1" si="67"/>
        <v>47126.545612190617</v>
      </c>
      <c r="K147" s="33">
        <f t="shared" ca="1" si="67"/>
        <v>41483.104688839987</v>
      </c>
      <c r="L147" s="33">
        <f t="shared" ca="1" si="67"/>
        <v>32865.122961465415</v>
      </c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">
      <c r="A148" s="1"/>
      <c r="B148" s="1" t="s">
        <v>135</v>
      </c>
      <c r="C148" s="1"/>
      <c r="D148" s="1"/>
      <c r="E148" s="1"/>
      <c r="F148" s="1"/>
      <c r="G148" s="60">
        <f>G147-G190</f>
        <v>49627.25</v>
      </c>
      <c r="H148" s="40">
        <f t="shared" ref="H148:L148" ca="1" si="68">H147-H190</f>
        <v>49980.778331579844</v>
      </c>
      <c r="I148" s="338">
        <f t="shared" ca="1" si="68"/>
        <v>48321.247954863764</v>
      </c>
      <c r="J148" s="338">
        <f t="shared" ca="1" si="68"/>
        <v>45126.545612190617</v>
      </c>
      <c r="K148" s="40">
        <f t="shared" ca="1" si="68"/>
        <v>39483.104688839987</v>
      </c>
      <c r="L148" s="40">
        <f t="shared" ca="1" si="68"/>
        <v>30865.122961465415</v>
      </c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">
      <c r="A149" s="1"/>
      <c r="B149" s="1" t="s">
        <v>48</v>
      </c>
      <c r="C149" s="1"/>
      <c r="D149" s="1"/>
      <c r="E149" s="1"/>
      <c r="F149" s="1"/>
      <c r="G149" s="60">
        <f>G62</f>
        <v>7121</v>
      </c>
      <c r="H149" s="40">
        <f t="shared" ref="H149:L149" si="69">H62</f>
        <v>9315.2019424255341</v>
      </c>
      <c r="I149" s="338">
        <f t="shared" si="69"/>
        <v>12185.505859874796</v>
      </c>
      <c r="J149" s="338">
        <f t="shared" si="69"/>
        <v>15940.239833639011</v>
      </c>
      <c r="K149" s="40">
        <f t="shared" si="69"/>
        <v>20851.924316955905</v>
      </c>
      <c r="L149" s="40">
        <f t="shared" si="69"/>
        <v>27277.0518046086</v>
      </c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">
      <c r="A150" s="1"/>
      <c r="B150" s="1" t="s">
        <v>136</v>
      </c>
      <c r="C150" s="1"/>
      <c r="D150" s="1"/>
      <c r="E150" s="1"/>
      <c r="F150" s="1"/>
      <c r="G150" s="83"/>
      <c r="H150" s="40">
        <f ca="1">H170</f>
        <v>5265.697868582638</v>
      </c>
      <c r="I150" s="338">
        <f t="shared" ref="I150:L150" ca="1" si="70">I170</f>
        <v>4532.9495047536057</v>
      </c>
      <c r="J150" s="338">
        <f t="shared" ca="1" si="70"/>
        <v>4036.7403372832287</v>
      </c>
      <c r="K150" s="40">
        <f t="shared" ca="1" si="70"/>
        <v>3793.8547727515293</v>
      </c>
      <c r="L150" s="40">
        <f t="shared" ca="1" si="70"/>
        <v>3426.1266551590993</v>
      </c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">
      <c r="A151" s="1"/>
      <c r="B151" s="1" t="s">
        <v>137</v>
      </c>
      <c r="C151" s="1"/>
      <c r="D151" s="1"/>
      <c r="E151" s="1"/>
      <c r="F151" s="1"/>
      <c r="G151" s="83"/>
      <c r="H151" s="40">
        <f ca="1">H150-H168</f>
        <v>5076.5463060826378</v>
      </c>
      <c r="I151" s="338">
        <f t="shared" ref="I151:L151" ca="1" si="71">I150-I168</f>
        <v>4339.7784715504804</v>
      </c>
      <c r="J151" s="338">
        <f t="shared" ca="1" si="71"/>
        <v>3839.4644196245372</v>
      </c>
      <c r="K151" s="40">
        <f t="shared" ca="1" si="71"/>
        <v>3592.3867418425907</v>
      </c>
      <c r="L151" s="40">
        <f t="shared" ca="1" si="71"/>
        <v>3220.3774285933459</v>
      </c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">
      <c r="A152" s="1"/>
      <c r="B152" s="1" t="s">
        <v>138</v>
      </c>
      <c r="C152" s="1"/>
      <c r="D152" s="1"/>
      <c r="E152" s="1"/>
      <c r="F152" s="1"/>
      <c r="G152" s="83"/>
      <c r="H152" s="40">
        <f>H83</f>
        <v>-2451.4377812253119</v>
      </c>
      <c r="I152" s="338">
        <f t="shared" ref="I152:L152" si="72">I83</f>
        <v>-3206.8021319204272</v>
      </c>
      <c r="J152" s="338">
        <f t="shared" si="72"/>
        <v>-4194.9177711331977</v>
      </c>
      <c r="K152" s="40">
        <f t="shared" si="72"/>
        <v>-5487.5026218193161</v>
      </c>
      <c r="L152" s="40">
        <f t="shared" si="72"/>
        <v>-7178.3731332448397</v>
      </c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">
      <c r="A153" s="1"/>
      <c r="B153" s="1" t="s">
        <v>100</v>
      </c>
      <c r="C153" s="1"/>
      <c r="D153" s="1"/>
      <c r="E153" s="1"/>
      <c r="F153" s="1"/>
      <c r="G153" s="83"/>
      <c r="H153" s="40">
        <f>-H88</f>
        <v>640.89</v>
      </c>
      <c r="I153" s="338">
        <f t="shared" ref="I153:L153" ca="1" si="73">-I88</f>
        <v>640.89</v>
      </c>
      <c r="J153" s="338">
        <f t="shared" ca="1" si="73"/>
        <v>640.89</v>
      </c>
      <c r="K153" s="40">
        <f t="shared" ca="1" si="73"/>
        <v>640.89</v>
      </c>
      <c r="L153" s="40">
        <f t="shared" ca="1" si="73"/>
        <v>640.89</v>
      </c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">
      <c r="A154" s="1"/>
      <c r="B154" s="1" t="s">
        <v>139</v>
      </c>
      <c r="C154" s="1"/>
      <c r="D154" s="1"/>
      <c r="E154" s="1"/>
      <c r="F154" s="1"/>
      <c r="G154" s="83"/>
      <c r="H154" s="40">
        <f ca="1">-H237</f>
        <v>-404.1709060065055</v>
      </c>
      <c r="I154" s="338">
        <f t="shared" ref="I154:L154" ca="1" si="74">-I237</f>
        <v>-805.62019460207568</v>
      </c>
      <c r="J154" s="338">
        <f t="shared" ca="1" si="74"/>
        <v>-1969.0321388583757</v>
      </c>
      <c r="K154" s="40">
        <f t="shared" ca="1" si="74"/>
        <v>-2646.7073380121983</v>
      </c>
      <c r="L154" s="40">
        <f t="shared" ca="1" si="74"/>
        <v>-3814.5876046459966</v>
      </c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">
      <c r="A155" s="1"/>
      <c r="B155" s="1" t="s">
        <v>140</v>
      </c>
      <c r="C155" s="1"/>
      <c r="D155" s="1"/>
      <c r="E155" s="1"/>
      <c r="F155" s="1"/>
      <c r="G155" s="83"/>
      <c r="H155" s="40">
        <f>H78</f>
        <v>-1375.4974681909252</v>
      </c>
      <c r="I155" s="338">
        <f t="shared" ref="I155:L155" si="75">I78</f>
        <v>-1799.3310893826028</v>
      </c>
      <c r="J155" s="338">
        <f t="shared" si="75"/>
        <v>-2353.7610530660641</v>
      </c>
      <c r="K155" s="40">
        <f t="shared" si="75"/>
        <v>-3079.0281608659734</v>
      </c>
      <c r="L155" s="40">
        <f t="shared" si="75"/>
        <v>-4027.7726590200309</v>
      </c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">
      <c r="A156" s="1"/>
      <c r="B156" s="1" t="s">
        <v>99</v>
      </c>
      <c r="C156" s="1"/>
      <c r="D156" s="1"/>
      <c r="E156" s="1"/>
      <c r="F156" s="1"/>
      <c r="G156" s="83"/>
      <c r="H156" s="40">
        <f ca="1">H81+H83</f>
        <v>22.54948092015411</v>
      </c>
      <c r="I156" s="338">
        <f t="shared" ref="I156:L156" ca="1" si="76">I81+I83</f>
        <v>2048.9739724192113</v>
      </c>
      <c r="J156" s="338">
        <f t="shared" ca="1" si="76"/>
        <v>3598.0644509568347</v>
      </c>
      <c r="K156" s="40">
        <f t="shared" ca="1" si="76"/>
        <v>6061.2994544158228</v>
      </c>
      <c r="L156" s="40">
        <f t="shared" ca="1" si="76"/>
        <v>9050.9409791043872</v>
      </c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">
      <c r="A159" s="2" t="s">
        <v>0</v>
      </c>
      <c r="B159" s="7" t="s">
        <v>141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">
      <c r="A160" s="1"/>
      <c r="B160" s="1"/>
      <c r="C160" s="1"/>
      <c r="D160" s="1"/>
      <c r="E160" s="81"/>
      <c r="F160" s="81"/>
      <c r="G160" s="51">
        <f>YEAR(G10)</f>
        <v>2022</v>
      </c>
      <c r="H160" s="52">
        <f>G160+1</f>
        <v>2023</v>
      </c>
      <c r="I160" s="329">
        <f t="shared" ref="I160:L160" si="77">H160+1</f>
        <v>2024</v>
      </c>
      <c r="J160" s="329">
        <f t="shared" si="77"/>
        <v>2025</v>
      </c>
      <c r="K160" s="52">
        <f t="shared" si="77"/>
        <v>2026</v>
      </c>
      <c r="L160" s="52">
        <f t="shared" si="77"/>
        <v>2027</v>
      </c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">
      <c r="A161" s="1"/>
      <c r="B161" s="1" t="s">
        <v>142</v>
      </c>
      <c r="C161" s="1"/>
      <c r="D161" s="1"/>
      <c r="E161" s="1"/>
      <c r="F161" s="1"/>
      <c r="G161" s="82"/>
      <c r="H161" s="96">
        <v>5.9900000000000002E-2</v>
      </c>
      <c r="I161" s="344">
        <v>3.85E-2</v>
      </c>
      <c r="J161" s="344">
        <v>2.8000000000000001E-2</v>
      </c>
      <c r="K161" s="96">
        <v>3.1E-2</v>
      </c>
      <c r="L161" s="96">
        <v>4.1000000000000002E-2</v>
      </c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">
      <c r="A162" s="1"/>
      <c r="B162" s="1"/>
      <c r="C162" s="1"/>
      <c r="D162" s="1"/>
      <c r="E162" s="9" t="s">
        <v>41</v>
      </c>
      <c r="F162" s="1"/>
      <c r="G162" s="83"/>
      <c r="H162" s="1"/>
      <c r="I162" s="339"/>
      <c r="J162" s="33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">
      <c r="A163" s="1"/>
      <c r="B163" s="1"/>
      <c r="C163" s="1"/>
      <c r="D163" s="1"/>
      <c r="E163" s="9" t="s">
        <v>143</v>
      </c>
      <c r="F163" s="9" t="s">
        <v>50</v>
      </c>
      <c r="G163" s="83"/>
      <c r="H163" s="1"/>
      <c r="I163" s="339"/>
      <c r="J163" s="33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">
      <c r="A164" s="1"/>
      <c r="B164" s="1" t="s">
        <v>56</v>
      </c>
      <c r="C164" s="1"/>
      <c r="D164" s="1"/>
      <c r="E164" s="97">
        <f>F32</f>
        <v>400</v>
      </c>
      <c r="F164" s="19">
        <f>G32</f>
        <v>0.01</v>
      </c>
      <c r="G164" s="83"/>
      <c r="H164" s="40">
        <f ca="1">(MAX(H$161,$F164)+$E164/10000)*AVERAGE(H106,H108)</f>
        <v>40.223075115538293</v>
      </c>
      <c r="I164" s="338">
        <f t="shared" ref="I164:L164" ca="1" si="78">(MAX(I$161,$F164)+$E164/10000)*AVERAGE(I106,I108)</f>
        <v>31.606720686383944</v>
      </c>
      <c r="J164" s="338">
        <f t="shared" ca="1" si="78"/>
        <v>0</v>
      </c>
      <c r="K164" s="40">
        <f t="shared" ca="1" si="78"/>
        <v>0</v>
      </c>
      <c r="L164" s="40">
        <f t="shared" ca="1" si="78"/>
        <v>0</v>
      </c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">
      <c r="A165" s="1"/>
      <c r="B165" s="1" t="s">
        <v>57</v>
      </c>
      <c r="C165" s="1"/>
      <c r="D165" s="1"/>
      <c r="E165" s="97">
        <f>F33</f>
        <v>450</v>
      </c>
      <c r="F165" s="19">
        <f>G33</f>
        <v>0.01</v>
      </c>
      <c r="G165" s="83"/>
      <c r="H165" s="40">
        <f ca="1">(MAX(H$161,$F165)+$E165/10000)*AVERAGE(H113,H116)</f>
        <v>3327.8533694999996</v>
      </c>
      <c r="I165" s="338">
        <f t="shared" ref="I165:L165" ca="1" si="79">(MAX(I$161,$F165)+$E165/10000)*AVERAGE(I113,I116)</f>
        <v>2578.4710387449563</v>
      </c>
      <c r="J165" s="338">
        <f t="shared" ca="1" si="79"/>
        <v>2092.1935947166144</v>
      </c>
      <c r="K165" s="40">
        <f t="shared" ca="1" si="79"/>
        <v>1827.1724392491249</v>
      </c>
      <c r="L165" s="40">
        <f t="shared" ca="1" si="79"/>
        <v>1436.8383494135194</v>
      </c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">
      <c r="A166" s="1"/>
      <c r="B166" s="1" t="s">
        <v>58</v>
      </c>
      <c r="C166" s="1"/>
      <c r="D166" s="1"/>
      <c r="E166" s="98">
        <f>F34</f>
        <v>8.1250000000000003E-2</v>
      </c>
      <c r="F166" s="99"/>
      <c r="G166" s="83"/>
      <c r="H166" s="40">
        <f ca="1">$E166*AVERAGE(H119,H122)</f>
        <v>867.87187500000005</v>
      </c>
      <c r="I166" s="338">
        <f t="shared" ref="I166:L166" ca="1" si="80">$E166*AVERAGE(I119,I122)</f>
        <v>867.87187500000005</v>
      </c>
      <c r="J166" s="338">
        <f t="shared" ca="1" si="80"/>
        <v>867.87187500000005</v>
      </c>
      <c r="K166" s="40">
        <f t="shared" ca="1" si="80"/>
        <v>867.87187500000005</v>
      </c>
      <c r="L166" s="40">
        <f t="shared" ca="1" si="80"/>
        <v>867.87187500000005</v>
      </c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">
      <c r="A167" s="1"/>
      <c r="B167" s="1" t="s">
        <v>144</v>
      </c>
      <c r="C167" s="1"/>
      <c r="D167" s="1"/>
      <c r="E167" s="98">
        <f>F35</f>
        <v>0.09</v>
      </c>
      <c r="F167" s="99"/>
      <c r="G167" s="83"/>
      <c r="H167" s="40">
        <f>$E167*AVERAGE(H125,H127)</f>
        <v>809.62432031249989</v>
      </c>
      <c r="I167" s="338">
        <f t="shared" ref="I167:L167" si="81">$E167*AVERAGE(I125,I127)</f>
        <v>826.82883711914053</v>
      </c>
      <c r="J167" s="338">
        <f t="shared" si="81"/>
        <v>844.39894990792232</v>
      </c>
      <c r="K167" s="40">
        <f t="shared" si="81"/>
        <v>862.34242759346557</v>
      </c>
      <c r="L167" s="40">
        <f t="shared" si="81"/>
        <v>880.66720417982674</v>
      </c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">
      <c r="A168" s="1"/>
      <c r="B168" s="1" t="s">
        <v>145</v>
      </c>
      <c r="C168" s="1"/>
      <c r="D168" s="1"/>
      <c r="E168" s="98">
        <f>H35</f>
        <v>2.1250000000000002E-2</v>
      </c>
      <c r="F168" s="99"/>
      <c r="G168" s="83"/>
      <c r="H168" s="40">
        <f>$E168*H125</f>
        <v>189.15156250000001</v>
      </c>
      <c r="I168" s="338">
        <f t="shared" ref="I168:L168" si="82">$E168*I125</f>
        <v>193.17103320312501</v>
      </c>
      <c r="J168" s="338">
        <f t="shared" si="82"/>
        <v>197.27591765869141</v>
      </c>
      <c r="K168" s="40">
        <f t="shared" si="82"/>
        <v>201.4680309089386</v>
      </c>
      <c r="L168" s="40">
        <f t="shared" si="82"/>
        <v>205.74922656575353</v>
      </c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">
      <c r="A169" s="1"/>
      <c r="B169" s="1" t="s">
        <v>146</v>
      </c>
      <c r="C169" s="1"/>
      <c r="D169" s="1"/>
      <c r="E169" s="41">
        <v>5.0000000000000001E-3</v>
      </c>
      <c r="F169" s="1"/>
      <c r="G169" s="83"/>
      <c r="H169" s="40">
        <f ca="1">$E$169*H109</f>
        <v>30.973666154600771</v>
      </c>
      <c r="I169" s="338">
        <f t="shared" ref="I169:L169" ca="1" si="83">$E$169*I109</f>
        <v>35</v>
      </c>
      <c r="J169" s="338">
        <f t="shared" ca="1" si="83"/>
        <v>35</v>
      </c>
      <c r="K169" s="40">
        <f t="shared" ca="1" si="83"/>
        <v>35</v>
      </c>
      <c r="L169" s="40">
        <f t="shared" ca="1" si="83"/>
        <v>35</v>
      </c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">
      <c r="A170" s="1"/>
      <c r="B170" s="1" t="s">
        <v>147</v>
      </c>
      <c r="C170" s="1"/>
      <c r="D170" s="1"/>
      <c r="E170" s="1"/>
      <c r="F170" s="1"/>
      <c r="G170" s="83"/>
      <c r="H170" s="61">
        <f ca="1">SUM(H164:H169)</f>
        <v>5265.697868582638</v>
      </c>
      <c r="I170" s="334">
        <f t="shared" ref="I170:L170" ca="1" si="84">SUM(I164:I169)</f>
        <v>4532.9495047536057</v>
      </c>
      <c r="J170" s="334">
        <f t="shared" ca="1" si="84"/>
        <v>4036.7403372832287</v>
      </c>
      <c r="K170" s="61">
        <f t="shared" ca="1" si="84"/>
        <v>3793.8547727515293</v>
      </c>
      <c r="L170" s="61">
        <f t="shared" ca="1" si="84"/>
        <v>3426.1266551590993</v>
      </c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">
      <c r="A171" s="1"/>
      <c r="B171" s="1"/>
      <c r="C171" s="1"/>
      <c r="D171" s="1"/>
      <c r="E171" s="1"/>
      <c r="F171" s="1"/>
      <c r="G171" s="83"/>
      <c r="H171" s="1"/>
      <c r="I171" s="339"/>
      <c r="J171" s="33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">
      <c r="A172" s="1"/>
      <c r="B172" s="43" t="s">
        <v>148</v>
      </c>
      <c r="C172" s="1"/>
      <c r="D172" s="1"/>
      <c r="E172" s="9" t="s">
        <v>55</v>
      </c>
      <c r="F172" s="9" t="s">
        <v>53</v>
      </c>
      <c r="G172" s="83"/>
      <c r="H172" s="1"/>
      <c r="I172" s="339"/>
      <c r="J172" s="33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">
      <c r="A173" s="1"/>
      <c r="B173" s="1" t="s">
        <v>56</v>
      </c>
      <c r="C173" s="1"/>
      <c r="D173" s="1"/>
      <c r="E173" s="40">
        <f>L32</f>
        <v>70</v>
      </c>
      <c r="F173" s="100">
        <f>J32</f>
        <v>5</v>
      </c>
      <c r="G173" s="83"/>
      <c r="H173" s="40">
        <f>E173/F173</f>
        <v>14</v>
      </c>
      <c r="I173" s="338">
        <f>H173</f>
        <v>14</v>
      </c>
      <c r="J173" s="338">
        <f t="shared" ref="J173:L173" si="85">I173</f>
        <v>14</v>
      </c>
      <c r="K173" s="338">
        <f t="shared" si="85"/>
        <v>14</v>
      </c>
      <c r="L173" s="338">
        <f t="shared" si="85"/>
        <v>14</v>
      </c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">
      <c r="A174" s="1"/>
      <c r="B174" s="1" t="s">
        <v>57</v>
      </c>
      <c r="C174" s="1"/>
      <c r="D174" s="1"/>
      <c r="E174" s="40">
        <f>L33</f>
        <v>640.89000000000033</v>
      </c>
      <c r="F174" s="100">
        <f>J33</f>
        <v>5</v>
      </c>
      <c r="G174" s="83"/>
      <c r="H174" s="40">
        <f t="shared" ref="H174:H176" si="86">E174/F174</f>
        <v>128.17800000000005</v>
      </c>
      <c r="I174" s="338">
        <f t="shared" ref="I174:L176" si="87">H174</f>
        <v>128.17800000000005</v>
      </c>
      <c r="J174" s="338">
        <f t="shared" si="87"/>
        <v>128.17800000000005</v>
      </c>
      <c r="K174" s="338">
        <f t="shared" si="87"/>
        <v>128.17800000000005</v>
      </c>
      <c r="L174" s="338">
        <f t="shared" si="87"/>
        <v>128.17800000000005</v>
      </c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">
      <c r="A175" s="1"/>
      <c r="B175" s="1" t="s">
        <v>58</v>
      </c>
      <c r="C175" s="1"/>
      <c r="D175" s="1"/>
      <c r="E175" s="40">
        <f>L34</f>
        <v>427.26000000000022</v>
      </c>
      <c r="F175" s="100">
        <f>J34</f>
        <v>7</v>
      </c>
      <c r="G175" s="83"/>
      <c r="H175" s="40">
        <f t="shared" si="86"/>
        <v>61.037142857142889</v>
      </c>
      <c r="I175" s="338">
        <f t="shared" si="87"/>
        <v>61.037142857142889</v>
      </c>
      <c r="J175" s="338">
        <f t="shared" si="87"/>
        <v>61.037142857142889</v>
      </c>
      <c r="K175" s="338">
        <f t="shared" si="87"/>
        <v>61.037142857142889</v>
      </c>
      <c r="L175" s="338">
        <f t="shared" si="87"/>
        <v>61.037142857142889</v>
      </c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">
      <c r="A176" s="1"/>
      <c r="B176" s="1" t="s">
        <v>59</v>
      </c>
      <c r="C176" s="1"/>
      <c r="D176" s="1"/>
      <c r="E176" s="40">
        <f>L35</f>
        <v>267.03749999999997</v>
      </c>
      <c r="F176" s="100">
        <f>J35</f>
        <v>8</v>
      </c>
      <c r="G176" s="83"/>
      <c r="H176" s="40">
        <f t="shared" si="86"/>
        <v>33.379687499999996</v>
      </c>
      <c r="I176" s="338">
        <f t="shared" si="87"/>
        <v>33.379687499999996</v>
      </c>
      <c r="J176" s="338">
        <f t="shared" si="87"/>
        <v>33.379687499999996</v>
      </c>
      <c r="K176" s="338">
        <f t="shared" si="87"/>
        <v>33.379687499999996</v>
      </c>
      <c r="L176" s="338">
        <f t="shared" si="87"/>
        <v>33.379687499999996</v>
      </c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">
      <c r="A177" s="1"/>
      <c r="B177" s="1" t="s">
        <v>149</v>
      </c>
      <c r="C177" s="1"/>
      <c r="D177" s="1"/>
      <c r="E177" s="1"/>
      <c r="F177" s="1"/>
      <c r="G177" s="83"/>
      <c r="H177" s="61">
        <f>SUM(H173:H176)</f>
        <v>236.59483035714294</v>
      </c>
      <c r="I177" s="334">
        <f t="shared" ref="I177:L177" si="88">SUM(I173:I176)</f>
        <v>236.59483035714294</v>
      </c>
      <c r="J177" s="334">
        <f t="shared" si="88"/>
        <v>236.59483035714294</v>
      </c>
      <c r="K177" s="334">
        <f t="shared" si="88"/>
        <v>236.59483035714294</v>
      </c>
      <c r="L177" s="334">
        <f t="shared" si="88"/>
        <v>236.59483035714294</v>
      </c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">
      <c r="A178" s="1"/>
      <c r="B178" s="1"/>
      <c r="C178" s="1"/>
      <c r="D178" s="1"/>
      <c r="E178" s="1"/>
      <c r="F178" s="1"/>
      <c r="G178" s="83"/>
      <c r="H178" s="1"/>
      <c r="I178" s="339"/>
      <c r="J178" s="33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">
      <c r="A179" s="1"/>
      <c r="B179" s="1" t="s">
        <v>150</v>
      </c>
      <c r="C179" s="1"/>
      <c r="D179" s="1"/>
      <c r="E179" s="41">
        <v>7.4999999999999997E-3</v>
      </c>
      <c r="F179" s="1"/>
      <c r="G179" s="83"/>
      <c r="H179" s="40">
        <f ca="1">$E$179*AVERAGE(H93,H95)</f>
        <v>15</v>
      </c>
      <c r="I179" s="338">
        <f t="shared" ref="I179:L179" ca="1" si="89">$E$179*AVERAGE(I93,I95)</f>
        <v>15</v>
      </c>
      <c r="J179" s="338">
        <f t="shared" ca="1" si="89"/>
        <v>15</v>
      </c>
      <c r="K179" s="338">
        <f t="shared" ca="1" si="89"/>
        <v>15</v>
      </c>
      <c r="L179" s="338">
        <f t="shared" ca="1" si="89"/>
        <v>15</v>
      </c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">
      <c r="A180" s="1"/>
      <c r="B180" s="1"/>
      <c r="C180" s="1"/>
      <c r="D180" s="1"/>
      <c r="E180" s="1"/>
      <c r="F180" s="1"/>
      <c r="G180" s="83"/>
      <c r="H180" s="1"/>
      <c r="I180" s="339"/>
      <c r="J180" s="339"/>
      <c r="K180" s="339"/>
      <c r="L180" s="339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">
      <c r="A181" s="1"/>
      <c r="B181" s="23" t="s">
        <v>151</v>
      </c>
      <c r="C181" s="1"/>
      <c r="D181" s="1"/>
      <c r="E181" s="1"/>
      <c r="F181" s="1"/>
      <c r="G181" s="83"/>
      <c r="H181" s="24">
        <f ca="1">IF($F$11=1,H170+H177-H179,0)</f>
        <v>5487.2926989397811</v>
      </c>
      <c r="I181" s="333">
        <f t="shared" ref="I181:L181" ca="1" si="90">IF($F$11=1,I170+I177-I179,0)</f>
        <v>4754.5443351107488</v>
      </c>
      <c r="J181" s="333">
        <f t="shared" ca="1" si="90"/>
        <v>4258.3351676403718</v>
      </c>
      <c r="K181" s="333">
        <f t="shared" ca="1" si="90"/>
        <v>4015.4496031086724</v>
      </c>
      <c r="L181" s="333">
        <f t="shared" ca="1" si="90"/>
        <v>3647.7214855162424</v>
      </c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">
      <c r="A182" s="1"/>
      <c r="B182" s="1"/>
      <c r="C182" s="1"/>
      <c r="D182" s="1"/>
      <c r="E182" s="1"/>
      <c r="F182" s="1"/>
      <c r="G182" s="83"/>
      <c r="H182" s="1"/>
      <c r="I182" s="339"/>
      <c r="J182" s="33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">
      <c r="A183" s="1"/>
      <c r="B183" s="1" t="s">
        <v>152</v>
      </c>
      <c r="C183" s="1"/>
      <c r="D183" s="1"/>
      <c r="E183" s="98">
        <f>F36</f>
        <v>0.1</v>
      </c>
      <c r="F183" s="1"/>
      <c r="G183" s="83"/>
      <c r="H183" s="338">
        <f>$E$183*H132</f>
        <v>186.92625000000001</v>
      </c>
      <c r="I183" s="338">
        <f t="shared" ref="I183:L183" si="91">$E$183*I132</f>
        <v>196.27256250000002</v>
      </c>
      <c r="J183" s="338">
        <f t="shared" si="91"/>
        <v>206.08619062500003</v>
      </c>
      <c r="K183" s="338">
        <f t="shared" si="91"/>
        <v>216.39050015625003</v>
      </c>
      <c r="L183" s="338">
        <f t="shared" si="91"/>
        <v>227.21002516406253</v>
      </c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">
      <c r="A184" s="1"/>
      <c r="B184" s="1" t="s">
        <v>153</v>
      </c>
      <c r="C184" s="1"/>
      <c r="D184" s="1"/>
      <c r="E184" s="98"/>
      <c r="F184" s="1"/>
      <c r="G184" s="83"/>
      <c r="H184" s="338">
        <f>H131</f>
        <v>89.012500000000003</v>
      </c>
      <c r="I184" s="338">
        <f t="shared" ref="I184:L184" si="92">I131</f>
        <v>93.463125000000005</v>
      </c>
      <c r="J184" s="338">
        <f t="shared" si="92"/>
        <v>98.13628125000001</v>
      </c>
      <c r="K184" s="338">
        <f t="shared" si="92"/>
        <v>103.04309531250001</v>
      </c>
      <c r="L184" s="338">
        <f t="shared" si="92"/>
        <v>108.19525007812501</v>
      </c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">
      <c r="A187" s="2" t="s">
        <v>0</v>
      </c>
      <c r="B187" s="7" t="s">
        <v>154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1"/>
      <c r="N187" s="1"/>
      <c r="O187" s="378" t="s">
        <v>155</v>
      </c>
      <c r="P187" s="379"/>
      <c r="Q187" s="379"/>
      <c r="R187" s="379"/>
      <c r="S187" s="1"/>
      <c r="T187" s="1"/>
      <c r="U187" s="1"/>
    </row>
    <row r="188" spans="1:21" x14ac:dyDescent="0.2">
      <c r="A188" s="2"/>
      <c r="B188" s="1"/>
      <c r="C188" s="1"/>
      <c r="D188" s="81"/>
      <c r="E188" s="81"/>
      <c r="F188" s="101" t="s">
        <v>156</v>
      </c>
      <c r="G188" s="102"/>
      <c r="H188" s="103"/>
      <c r="I188" s="103"/>
      <c r="J188" s="103"/>
      <c r="K188" s="103"/>
      <c r="L188" s="103"/>
      <c r="M188" s="1"/>
      <c r="N188" s="1"/>
      <c r="O188" s="26" t="s">
        <v>157</v>
      </c>
      <c r="P188" s="40">
        <f>E219</f>
        <v>22101</v>
      </c>
      <c r="Q188" s="373" t="s">
        <v>158</v>
      </c>
      <c r="R188" s="373" t="s">
        <v>159</v>
      </c>
      <c r="S188" s="1"/>
      <c r="T188" s="1"/>
      <c r="U188" s="1"/>
    </row>
    <row r="189" spans="1:21" x14ac:dyDescent="0.2">
      <c r="A189" s="1"/>
      <c r="B189" s="1"/>
      <c r="C189" s="1"/>
      <c r="D189" s="81"/>
      <c r="E189" s="104">
        <f>YEAR(G10)</f>
        <v>2022</v>
      </c>
      <c r="F189" s="105" t="s">
        <v>160</v>
      </c>
      <c r="G189" s="106" t="s">
        <v>161</v>
      </c>
      <c r="H189" s="52">
        <f>E189+1</f>
        <v>2023</v>
      </c>
      <c r="I189" s="329">
        <f t="shared" ref="I189:L189" si="93">H189+1</f>
        <v>2024</v>
      </c>
      <c r="J189" s="329">
        <f t="shared" si="93"/>
        <v>2025</v>
      </c>
      <c r="K189" s="52">
        <f t="shared" si="93"/>
        <v>2026</v>
      </c>
      <c r="L189" s="52">
        <f t="shared" si="93"/>
        <v>2027</v>
      </c>
      <c r="M189" s="1"/>
      <c r="N189" s="1"/>
      <c r="O189" s="1" t="s">
        <v>162</v>
      </c>
      <c r="P189" s="374">
        <v>500</v>
      </c>
      <c r="Q189" s="1"/>
      <c r="R189" s="1"/>
      <c r="S189" s="1"/>
      <c r="T189" s="1"/>
      <c r="U189" s="1"/>
    </row>
    <row r="190" spans="1:21" x14ac:dyDescent="0.2">
      <c r="A190" s="1"/>
      <c r="B190" s="53" t="s">
        <v>163</v>
      </c>
      <c r="C190" s="53"/>
      <c r="D190" s="107"/>
      <c r="E190" s="108">
        <f>'P&amp;L'!E58</f>
        <v>3389</v>
      </c>
      <c r="F190" s="109">
        <f>-K41</f>
        <v>-1389</v>
      </c>
      <c r="G190" s="95">
        <f>SUM(E190:F190)</f>
        <v>2000</v>
      </c>
      <c r="H190" s="33">
        <f t="shared" ref="H190:L190" ca="1" si="94">H95</f>
        <v>2000</v>
      </c>
      <c r="I190" s="334">
        <f t="shared" ca="1" si="94"/>
        <v>2000</v>
      </c>
      <c r="J190" s="334">
        <f t="shared" ca="1" si="94"/>
        <v>2000</v>
      </c>
      <c r="K190" s="61">
        <f t="shared" ca="1" si="94"/>
        <v>2000</v>
      </c>
      <c r="L190" s="61">
        <f t="shared" ca="1" si="94"/>
        <v>2000</v>
      </c>
      <c r="M190" s="110"/>
      <c r="N190" s="1"/>
      <c r="O190" s="1" t="s">
        <v>164</v>
      </c>
      <c r="P190" s="374">
        <v>1000</v>
      </c>
      <c r="Q190" s="1"/>
      <c r="R190" s="1"/>
      <c r="S190" s="373"/>
      <c r="T190" s="1"/>
      <c r="U190" s="1"/>
    </row>
    <row r="191" spans="1:21" x14ac:dyDescent="0.2">
      <c r="A191" s="1"/>
      <c r="B191" s="53" t="s">
        <v>165</v>
      </c>
      <c r="C191" s="53"/>
      <c r="D191" s="107"/>
      <c r="E191" s="56">
        <f>'P&amp;L'!E60</f>
        <v>3827</v>
      </c>
      <c r="F191" s="111"/>
      <c r="G191" s="60">
        <f t="shared" ref="G191:G193" si="95">SUM(E191:F191)</f>
        <v>3827</v>
      </c>
      <c r="H191" s="56">
        <f>'P&amp;L'!F60</f>
        <v>5006.217923558841</v>
      </c>
      <c r="I191" s="332">
        <f>'P&amp;L'!G60</f>
        <v>6548.7896258588444</v>
      </c>
      <c r="J191" s="332">
        <f>'P&amp;L'!H60</f>
        <v>8566.6757257880199</v>
      </c>
      <c r="K191" s="56">
        <f>'P&amp;L'!I60</f>
        <v>11206.335396853001</v>
      </c>
      <c r="L191" s="56">
        <f>'P&amp;L'!J60</f>
        <v>14659.356446599786</v>
      </c>
      <c r="M191" s="1"/>
      <c r="N191" s="1"/>
      <c r="O191" s="1" t="s">
        <v>166</v>
      </c>
      <c r="P191" s="1"/>
      <c r="Q191" s="1"/>
      <c r="R191" s="1"/>
      <c r="S191" s="1"/>
      <c r="T191" s="1"/>
      <c r="U191" s="1"/>
    </row>
    <row r="192" spans="1:21" x14ac:dyDescent="0.2">
      <c r="A192" s="1"/>
      <c r="B192" s="53" t="s">
        <v>167</v>
      </c>
      <c r="C192" s="53"/>
      <c r="D192" s="107"/>
      <c r="E192" s="56">
        <f>'P&amp;L'!E61</f>
        <v>5159</v>
      </c>
      <c r="F192" s="111"/>
      <c r="G192" s="60">
        <f t="shared" si="95"/>
        <v>5159</v>
      </c>
      <c r="H192" s="56">
        <f>'P&amp;L'!F61</f>
        <v>6748.6486197125841</v>
      </c>
      <c r="I192" s="332">
        <f>'P&amp;L'!G61</f>
        <v>8828.1175019090115</v>
      </c>
      <c r="J192" s="332">
        <f>'P&amp;L'!H61</f>
        <v>11548.335528962736</v>
      </c>
      <c r="K192" s="56">
        <f>'P&amp;L'!I61</f>
        <v>15106.737473834501</v>
      </c>
      <c r="L192" s="56">
        <f>'P&amp;L'!J61</f>
        <v>19761.593913772747</v>
      </c>
      <c r="M192" s="1"/>
      <c r="N192" s="1"/>
      <c r="O192" s="1" t="s">
        <v>168</v>
      </c>
      <c r="P192" s="71">
        <f>SUM(P188:P191)</f>
        <v>23601</v>
      </c>
      <c r="Q192" s="1"/>
      <c r="R192" s="1"/>
      <c r="S192" s="1"/>
      <c r="T192" s="1"/>
      <c r="U192" s="1"/>
    </row>
    <row r="193" spans="1:21" x14ac:dyDescent="0.2">
      <c r="A193" s="1"/>
      <c r="B193" s="53" t="s">
        <v>169</v>
      </c>
      <c r="C193" s="53"/>
      <c r="D193" s="107"/>
      <c r="E193" s="56">
        <f>'P&amp;L'!E62+'P&amp;L'!E59</f>
        <v>10698</v>
      </c>
      <c r="F193" s="111"/>
      <c r="G193" s="60">
        <f t="shared" si="95"/>
        <v>10698</v>
      </c>
      <c r="H193" s="56">
        <f>'P&amp;L'!F62+'P&amp;L'!F59</f>
        <v>10941.731742235444</v>
      </c>
      <c r="I193" s="332">
        <f>'P&amp;L'!G62+'P&amp;L'!G59</f>
        <v>11260.564827294054</v>
      </c>
      <c r="J193" s="332">
        <f>'P&amp;L'!H62+'P&amp;L'!H59</f>
        <v>11677.640318551952</v>
      </c>
      <c r="K193" s="56">
        <f>'P&amp;L'!I62+'P&amp;L'!I59</f>
        <v>12223.229761931205</v>
      </c>
      <c r="L193" s="56">
        <f>'P&amp;L'!J62+'P&amp;L'!J59</f>
        <v>12936.932309710068</v>
      </c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">
      <c r="A194" s="1"/>
      <c r="B194" s="53" t="s">
        <v>170</v>
      </c>
      <c r="C194" s="53"/>
      <c r="D194" s="107"/>
      <c r="E194" s="61">
        <f t="shared" ref="E194:L194" si="96">SUM(E190:E193)</f>
        <v>23073</v>
      </c>
      <c r="F194" s="112">
        <f t="shared" si="96"/>
        <v>-1389</v>
      </c>
      <c r="G194" s="113">
        <f t="shared" si="96"/>
        <v>21684</v>
      </c>
      <c r="H194" s="61">
        <f t="shared" ca="1" si="96"/>
        <v>24696.598285506872</v>
      </c>
      <c r="I194" s="334">
        <f t="shared" ca="1" si="96"/>
        <v>28637.471955061912</v>
      </c>
      <c r="J194" s="334">
        <f t="shared" ca="1" si="96"/>
        <v>33792.651573302704</v>
      </c>
      <c r="K194" s="61">
        <f t="shared" ca="1" si="96"/>
        <v>40536.30263261871</v>
      </c>
      <c r="L194" s="61">
        <f t="shared" ca="1" si="96"/>
        <v>49357.882670082603</v>
      </c>
      <c r="M194" s="1"/>
      <c r="N194" s="1"/>
      <c r="O194" s="1" t="s">
        <v>67</v>
      </c>
      <c r="P194" s="33">
        <f>E41</f>
        <v>919416</v>
      </c>
      <c r="Q194" s="1"/>
      <c r="R194" s="1"/>
      <c r="S194" s="1"/>
      <c r="T194" s="1"/>
      <c r="U194" s="1"/>
    </row>
    <row r="195" spans="1:21" x14ac:dyDescent="0.2">
      <c r="A195" s="1"/>
      <c r="B195" s="53"/>
      <c r="C195" s="53"/>
      <c r="D195" s="107"/>
      <c r="E195" s="40"/>
      <c r="F195" s="111"/>
      <c r="G195" s="83"/>
      <c r="H195" s="40"/>
      <c r="I195" s="338"/>
      <c r="J195" s="338"/>
      <c r="K195" s="40"/>
      <c r="L195" s="40"/>
      <c r="M195" s="1"/>
      <c r="N195" s="1"/>
      <c r="O195" s="1" t="s">
        <v>171</v>
      </c>
      <c r="P195" s="40">
        <f>-P192</f>
        <v>-23601</v>
      </c>
      <c r="Q195" s="1"/>
      <c r="R195" s="1"/>
      <c r="S195" s="1"/>
      <c r="T195" s="1"/>
      <c r="U195" s="1"/>
    </row>
    <row r="196" spans="1:21" x14ac:dyDescent="0.2">
      <c r="A196" s="1"/>
      <c r="B196" s="53" t="s">
        <v>172</v>
      </c>
      <c r="C196" s="53"/>
      <c r="D196" s="107"/>
      <c r="E196" s="108">
        <f>'P&amp;L'!E65</f>
        <v>3807</v>
      </c>
      <c r="F196" s="109"/>
      <c r="G196" s="95">
        <f t="shared" ref="G196:G199" si="97">SUM(E196:F196)</f>
        <v>3807</v>
      </c>
      <c r="H196" s="33">
        <f>G196-H83-H63</f>
        <v>5476.133058572148</v>
      </c>
      <c r="I196" s="343">
        <f t="shared" ref="I196:K196" si="98">H196-I83-I63</f>
        <v>7499.7802013493583</v>
      </c>
      <c r="J196" s="343">
        <f t="shared" si="98"/>
        <v>9987.178261947689</v>
      </c>
      <c r="K196" s="33">
        <f t="shared" si="98"/>
        <v>13081.223345504724</v>
      </c>
      <c r="L196" s="33">
        <f>K196-L83-L63</f>
        <v>16968.842298831678</v>
      </c>
      <c r="M196" s="40"/>
      <c r="N196" s="1"/>
      <c r="O196" s="1" t="s">
        <v>173</v>
      </c>
      <c r="P196" s="61">
        <f>SUM(P194:P195)</f>
        <v>895815</v>
      </c>
      <c r="Q196" s="1"/>
      <c r="R196" s="1"/>
      <c r="S196" s="1"/>
      <c r="T196" s="1"/>
      <c r="U196" s="1"/>
    </row>
    <row r="197" spans="1:21" x14ac:dyDescent="0.2">
      <c r="A197" s="1"/>
      <c r="B197" s="53" t="s">
        <v>174</v>
      </c>
      <c r="C197" s="53"/>
      <c r="D197" s="107"/>
      <c r="E197" s="56">
        <f>'P&amp;L'!E68</f>
        <v>1676</v>
      </c>
      <c r="F197" s="114"/>
      <c r="G197" s="60">
        <f t="shared" si="97"/>
        <v>1676</v>
      </c>
      <c r="H197" s="40">
        <f>G197-H64</f>
        <v>977</v>
      </c>
      <c r="I197" s="338">
        <f t="shared" ref="I197:L197" si="99">H197-I64</f>
        <v>278</v>
      </c>
      <c r="J197" s="338">
        <f>I197-J64</f>
        <v>-421</v>
      </c>
      <c r="K197" s="40">
        <f t="shared" si="99"/>
        <v>-1120</v>
      </c>
      <c r="L197" s="40">
        <f t="shared" si="99"/>
        <v>-1819</v>
      </c>
      <c r="M197" s="40"/>
      <c r="N197" s="1"/>
      <c r="S197" s="1"/>
      <c r="T197" s="1"/>
      <c r="U197" s="1"/>
    </row>
    <row r="198" spans="1:21" x14ac:dyDescent="0.2">
      <c r="A198" s="1"/>
      <c r="B198" s="53" t="s">
        <v>175</v>
      </c>
      <c r="C198" s="53"/>
      <c r="D198" s="107"/>
      <c r="E198" s="56">
        <f>'P&amp;L'!E67</f>
        <v>4372</v>
      </c>
      <c r="F198" s="114">
        <f>E41-E219</f>
        <v>897315</v>
      </c>
      <c r="G198" s="60">
        <f t="shared" si="97"/>
        <v>901687</v>
      </c>
      <c r="H198" s="40">
        <f>G198</f>
        <v>901687</v>
      </c>
      <c r="I198" s="338">
        <f t="shared" ref="I198:L198" si="100">H198</f>
        <v>901687</v>
      </c>
      <c r="J198" s="338">
        <f t="shared" si="100"/>
        <v>901687</v>
      </c>
      <c r="K198" s="40">
        <f t="shared" si="100"/>
        <v>901687</v>
      </c>
      <c r="L198" s="40">
        <f t="shared" si="100"/>
        <v>901687</v>
      </c>
      <c r="M198" s="1"/>
      <c r="N198" s="1"/>
      <c r="S198" s="1"/>
      <c r="T198" s="1"/>
      <c r="U198" s="1"/>
    </row>
    <row r="199" spans="1:21" x14ac:dyDescent="0.2">
      <c r="A199" s="1"/>
      <c r="B199" s="53" t="s">
        <v>176</v>
      </c>
      <c r="C199" s="53"/>
      <c r="D199" s="107"/>
      <c r="E199" s="56">
        <f>'P&amp;L'!E69+'P&amp;L'!E70+'P&amp;L'!E66</f>
        <v>8254</v>
      </c>
      <c r="F199" s="111"/>
      <c r="G199" s="60">
        <f t="shared" si="97"/>
        <v>8254</v>
      </c>
      <c r="H199" s="26">
        <f>G199</f>
        <v>8254</v>
      </c>
      <c r="I199" s="337">
        <f t="shared" ref="I199:L199" si="101">H199</f>
        <v>8254</v>
      </c>
      <c r="J199" s="337">
        <f t="shared" si="101"/>
        <v>8254</v>
      </c>
      <c r="K199" s="26">
        <f t="shared" si="101"/>
        <v>8254</v>
      </c>
      <c r="L199" s="26">
        <f t="shared" si="101"/>
        <v>8254</v>
      </c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">
      <c r="A200" s="1"/>
      <c r="B200" s="53" t="s">
        <v>177</v>
      </c>
      <c r="C200" s="53"/>
      <c r="D200" s="107"/>
      <c r="E200" s="61">
        <f t="shared" ref="E200:L200" si="102">SUM(E196:E199)</f>
        <v>18109</v>
      </c>
      <c r="F200" s="112">
        <f t="shared" si="102"/>
        <v>897315</v>
      </c>
      <c r="G200" s="113">
        <f t="shared" si="102"/>
        <v>915424</v>
      </c>
      <c r="H200" s="61">
        <f t="shared" si="102"/>
        <v>916394.13305857219</v>
      </c>
      <c r="I200" s="334">
        <f t="shared" si="102"/>
        <v>917718.78020134941</v>
      </c>
      <c r="J200" s="334">
        <f t="shared" si="102"/>
        <v>919507.1782619477</v>
      </c>
      <c r="K200" s="61">
        <f t="shared" si="102"/>
        <v>921902.22334550472</v>
      </c>
      <c r="L200" s="61">
        <f t="shared" si="102"/>
        <v>925090.84229883167</v>
      </c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">
      <c r="A201" s="1"/>
      <c r="B201" s="53"/>
      <c r="C201" s="53"/>
      <c r="D201" s="107"/>
      <c r="E201" s="40"/>
      <c r="F201" s="111"/>
      <c r="G201" s="83"/>
      <c r="H201" s="40"/>
      <c r="I201" s="338"/>
      <c r="J201" s="338"/>
      <c r="K201" s="40"/>
      <c r="L201" s="40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">
      <c r="A202" s="1"/>
      <c r="B202" s="58" t="s">
        <v>178</v>
      </c>
      <c r="C202" s="58"/>
      <c r="D202" s="107"/>
      <c r="E202" s="353">
        <f t="shared" ref="E202:L202" si="103">E194+E200</f>
        <v>41182</v>
      </c>
      <c r="F202" s="353">
        <f t="shared" si="103"/>
        <v>895926</v>
      </c>
      <c r="G202" s="116">
        <f t="shared" si="103"/>
        <v>937108</v>
      </c>
      <c r="H202" s="63">
        <f t="shared" ca="1" si="103"/>
        <v>941090.73134407902</v>
      </c>
      <c r="I202" s="335">
        <f t="shared" ca="1" si="103"/>
        <v>946356.2521564113</v>
      </c>
      <c r="J202" s="335">
        <f t="shared" ca="1" si="103"/>
        <v>953299.82983525039</v>
      </c>
      <c r="K202" s="63">
        <f t="shared" ca="1" si="103"/>
        <v>962438.52597812342</v>
      </c>
      <c r="L202" s="63">
        <f t="shared" ca="1" si="103"/>
        <v>974448.72496891429</v>
      </c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">
      <c r="A203" s="1"/>
      <c r="B203" s="53"/>
      <c r="C203" s="53"/>
      <c r="D203" s="107"/>
      <c r="E203" s="40"/>
      <c r="F203" s="111"/>
      <c r="G203" s="83"/>
      <c r="H203" s="40"/>
      <c r="I203" s="338"/>
      <c r="J203" s="338"/>
      <c r="K203" s="40"/>
      <c r="L203" s="40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">
      <c r="A204" s="1"/>
      <c r="B204" s="53" t="s">
        <v>179</v>
      </c>
      <c r="C204" s="53"/>
      <c r="D204" s="107"/>
      <c r="E204" s="108">
        <v>0</v>
      </c>
      <c r="F204" s="109">
        <f>-E204</f>
        <v>0</v>
      </c>
      <c r="G204" s="95">
        <f t="shared" ref="G204:G207" si="104">SUM(E204:F204)</f>
        <v>0</v>
      </c>
      <c r="H204" s="21">
        <f>G204</f>
        <v>0</v>
      </c>
      <c r="I204" s="345">
        <f t="shared" ref="I204:L204" si="105">H204</f>
        <v>0</v>
      </c>
      <c r="J204" s="345">
        <f t="shared" si="105"/>
        <v>0</v>
      </c>
      <c r="K204" s="21">
        <f t="shared" si="105"/>
        <v>0</v>
      </c>
      <c r="L204" s="21">
        <f t="shared" si="105"/>
        <v>0</v>
      </c>
      <c r="M204" s="79"/>
      <c r="N204" s="1"/>
      <c r="O204" s="1"/>
      <c r="P204" s="1"/>
      <c r="Q204" s="1"/>
      <c r="R204" s="1"/>
      <c r="S204" s="1"/>
      <c r="T204" s="1"/>
      <c r="U204" s="1"/>
    </row>
    <row r="205" spans="1:21" x14ac:dyDescent="0.2">
      <c r="A205" s="1"/>
      <c r="B205" s="53" t="s">
        <v>180</v>
      </c>
      <c r="C205" s="53"/>
      <c r="D205" s="117"/>
      <c r="E205" s="56">
        <f>'P&amp;L'!E76</f>
        <v>1250</v>
      </c>
      <c r="F205" s="111"/>
      <c r="G205" s="60">
        <f t="shared" si="104"/>
        <v>1250</v>
      </c>
      <c r="H205" s="26">
        <f>G205</f>
        <v>1250</v>
      </c>
      <c r="I205" s="337">
        <f t="shared" ref="I205:L205" si="106">H205</f>
        <v>1250</v>
      </c>
      <c r="J205" s="337">
        <f t="shared" si="106"/>
        <v>1250</v>
      </c>
      <c r="K205" s="26">
        <f t="shared" si="106"/>
        <v>1250</v>
      </c>
      <c r="L205" s="26">
        <f t="shared" si="106"/>
        <v>1250</v>
      </c>
      <c r="M205" s="79"/>
      <c r="N205" s="1"/>
      <c r="O205" s="1"/>
      <c r="P205" s="1"/>
      <c r="Q205" s="1"/>
      <c r="R205" s="1"/>
      <c r="S205" s="1"/>
      <c r="T205" s="1"/>
      <c r="U205" s="1"/>
    </row>
    <row r="206" spans="1:21" x14ac:dyDescent="0.2">
      <c r="A206" s="1"/>
      <c r="B206" s="53" t="s">
        <v>181</v>
      </c>
      <c r="C206" s="53"/>
      <c r="D206" s="117"/>
      <c r="E206" s="56">
        <f>'P&amp;L'!E74</f>
        <v>1193</v>
      </c>
      <c r="F206" s="111"/>
      <c r="G206" s="60">
        <f t="shared" si="104"/>
        <v>1193</v>
      </c>
      <c r="H206" s="56">
        <f>'P&amp;L'!F74</f>
        <v>1560.6004658494114</v>
      </c>
      <c r="I206" s="332">
        <f>'P&amp;L'!G74</f>
        <v>2041.4700871830682</v>
      </c>
      <c r="J206" s="332">
        <f>'P&amp;L'!H74</f>
        <v>2670.510619510088</v>
      </c>
      <c r="K206" s="56">
        <f>'P&amp;L'!I74</f>
        <v>3493.378136515712</v>
      </c>
      <c r="L206" s="56">
        <f>'P&amp;L'!J74</f>
        <v>4569.7967705235287</v>
      </c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">
      <c r="A207" s="1"/>
      <c r="B207" s="53" t="s">
        <v>182</v>
      </c>
      <c r="C207" s="53"/>
      <c r="D207" s="107"/>
      <c r="E207" s="56">
        <f>'P&amp;L'!E75</f>
        <v>4120</v>
      </c>
      <c r="F207" s="111"/>
      <c r="G207" s="60">
        <f t="shared" si="104"/>
        <v>4120</v>
      </c>
      <c r="H207" s="56">
        <f>'P&amp;L'!F75</f>
        <v>5389.5003514665341</v>
      </c>
      <c r="I207" s="332">
        <f>'P&amp;L'!G75</f>
        <v>7050.1733103053157</v>
      </c>
      <c r="J207" s="332">
        <f>'P&amp;L'!H75</f>
        <v>9222.5513431530289</v>
      </c>
      <c r="K207" s="56">
        <f>'P&amp;L'!I75</f>
        <v>12064.306724597429</v>
      </c>
      <c r="L207" s="56">
        <f>'P&amp;L'!J75</f>
        <v>15781.695469033477</v>
      </c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">
      <c r="A208" s="1"/>
      <c r="B208" s="53" t="s">
        <v>183</v>
      </c>
      <c r="C208" s="53"/>
      <c r="D208" s="107"/>
      <c r="E208" s="61">
        <f t="shared" ref="E208:L208" si="107">SUM(E204:E207)</f>
        <v>6563</v>
      </c>
      <c r="F208" s="112">
        <f t="shared" si="107"/>
        <v>0</v>
      </c>
      <c r="G208" s="113">
        <f t="shared" si="107"/>
        <v>6563</v>
      </c>
      <c r="H208" s="61">
        <f t="shared" si="107"/>
        <v>8200.1008173159462</v>
      </c>
      <c r="I208" s="334">
        <f t="shared" si="107"/>
        <v>10341.643397488384</v>
      </c>
      <c r="J208" s="334">
        <f t="shared" si="107"/>
        <v>13143.061962663116</v>
      </c>
      <c r="K208" s="61">
        <f t="shared" si="107"/>
        <v>16807.684861113143</v>
      </c>
      <c r="L208" s="61">
        <f t="shared" si="107"/>
        <v>21601.492239557007</v>
      </c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">
      <c r="A209" s="1"/>
      <c r="B209" s="53"/>
      <c r="C209" s="53"/>
      <c r="D209" s="107"/>
      <c r="E209" s="40"/>
      <c r="F209" s="111"/>
      <c r="G209" s="83"/>
      <c r="H209" s="40"/>
      <c r="I209" s="338"/>
      <c r="J209" s="338"/>
      <c r="K209" s="40"/>
      <c r="L209" s="40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">
      <c r="A210" s="1"/>
      <c r="B210" s="53" t="s">
        <v>184</v>
      </c>
      <c r="C210" s="53"/>
      <c r="D210" s="107"/>
      <c r="E210" s="108">
        <v>0</v>
      </c>
      <c r="F210" s="109"/>
      <c r="G210" s="95">
        <f t="shared" ref="G210:G213" si="108">SUM(E210:F210)</f>
        <v>0</v>
      </c>
      <c r="H210" s="21">
        <f>G210</f>
        <v>0</v>
      </c>
      <c r="I210" s="345">
        <f t="shared" ref="I210:L210" si="109">H210</f>
        <v>0</v>
      </c>
      <c r="J210" s="345">
        <f t="shared" si="109"/>
        <v>0</v>
      </c>
      <c r="K210" s="21">
        <f t="shared" si="109"/>
        <v>0</v>
      </c>
      <c r="L210" s="21">
        <f t="shared" si="109"/>
        <v>0</v>
      </c>
      <c r="M210" s="79"/>
      <c r="N210" s="1"/>
      <c r="O210" s="1"/>
      <c r="P210" s="1"/>
      <c r="Q210" s="1"/>
      <c r="R210" s="1"/>
      <c r="S210" s="1"/>
      <c r="T210" s="1"/>
      <c r="U210" s="1"/>
    </row>
    <row r="211" spans="1:21" x14ac:dyDescent="0.2">
      <c r="A211" s="1"/>
      <c r="B211" s="53" t="s">
        <v>185</v>
      </c>
      <c r="C211" s="53"/>
      <c r="D211" s="107"/>
      <c r="E211" s="56">
        <f>'P&amp;L'!E79</f>
        <v>9703</v>
      </c>
      <c r="F211" s="114">
        <f>-E211+G147</f>
        <v>41924.25</v>
      </c>
      <c r="G211" s="60">
        <f t="shared" si="108"/>
        <v>51627.25</v>
      </c>
      <c r="H211" s="40">
        <f ca="1">H147</f>
        <v>51980.778331579844</v>
      </c>
      <c r="I211" s="338">
        <f t="shared" ref="I211:L211" ca="1" si="110">I147</f>
        <v>50321.247954863764</v>
      </c>
      <c r="J211" s="338">
        <f t="shared" ca="1" si="110"/>
        <v>47126.545612190617</v>
      </c>
      <c r="K211" s="40">
        <f t="shared" ca="1" si="110"/>
        <v>41483.104688839987</v>
      </c>
      <c r="L211" s="40">
        <f t="shared" ca="1" si="110"/>
        <v>32865.122961465415</v>
      </c>
      <c r="M211" s="40"/>
      <c r="N211" s="1"/>
      <c r="O211" s="1"/>
      <c r="P211" s="1"/>
      <c r="Q211" s="1"/>
      <c r="R211" s="1"/>
      <c r="S211" s="1"/>
      <c r="T211" s="1"/>
      <c r="U211" s="1"/>
    </row>
    <row r="212" spans="1:21" x14ac:dyDescent="0.2">
      <c r="A212" s="1"/>
      <c r="B212" s="53" t="s">
        <v>186</v>
      </c>
      <c r="C212" s="53"/>
      <c r="D212" s="107"/>
      <c r="E212" s="70">
        <v>0</v>
      </c>
      <c r="F212" s="114">
        <f>-E43</f>
        <v>-1405.1875000000005</v>
      </c>
      <c r="G212" s="60">
        <f t="shared" si="108"/>
        <v>-1405.1875000000005</v>
      </c>
      <c r="H212" s="40">
        <f>G212+H177</f>
        <v>-1168.5926696428576</v>
      </c>
      <c r="I212" s="338">
        <f t="shared" ref="I212:L212" si="111">H212+I177</f>
        <v>-931.99783928571469</v>
      </c>
      <c r="J212" s="338">
        <f t="shared" si="111"/>
        <v>-695.40300892857181</v>
      </c>
      <c r="K212" s="40">
        <f t="shared" si="111"/>
        <v>-458.80817857142887</v>
      </c>
      <c r="L212" s="40">
        <f t="shared" si="111"/>
        <v>-222.21334821428593</v>
      </c>
      <c r="M212" s="40"/>
      <c r="N212" s="1"/>
      <c r="O212" s="1"/>
      <c r="P212" s="1"/>
      <c r="Q212" s="1"/>
      <c r="R212" s="1"/>
      <c r="S212" s="1"/>
      <c r="T212" s="1"/>
      <c r="U212" s="1"/>
    </row>
    <row r="213" spans="1:21" x14ac:dyDescent="0.2">
      <c r="A213" s="1"/>
      <c r="B213" s="53" t="s">
        <v>187</v>
      </c>
      <c r="C213" s="53"/>
      <c r="D213" s="107"/>
      <c r="E213" s="56">
        <f>'P&amp;L'!E80+'P&amp;L'!E81</f>
        <v>2815</v>
      </c>
      <c r="F213" s="114"/>
      <c r="G213" s="60">
        <f t="shared" si="108"/>
        <v>2815</v>
      </c>
      <c r="H213" s="26">
        <f>G213</f>
        <v>2815</v>
      </c>
      <c r="I213" s="337">
        <f t="shared" ref="I213:L213" si="112">H213</f>
        <v>2815</v>
      </c>
      <c r="J213" s="337">
        <f t="shared" si="112"/>
        <v>2815</v>
      </c>
      <c r="K213" s="26">
        <f t="shared" si="112"/>
        <v>2815</v>
      </c>
      <c r="L213" s="26">
        <f t="shared" si="112"/>
        <v>2815</v>
      </c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">
      <c r="A214" s="1"/>
      <c r="B214" s="53" t="s">
        <v>188</v>
      </c>
      <c r="C214" s="53"/>
      <c r="D214" s="107"/>
      <c r="E214" s="61">
        <f t="shared" ref="E214:L214" si="113">SUM(E210:E213)</f>
        <v>12518</v>
      </c>
      <c r="F214" s="112">
        <f t="shared" si="113"/>
        <v>40519.0625</v>
      </c>
      <c r="G214" s="113">
        <f t="shared" si="113"/>
        <v>53037.0625</v>
      </c>
      <c r="H214" s="61">
        <f t="shared" ca="1" si="113"/>
        <v>53627.185661936986</v>
      </c>
      <c r="I214" s="334">
        <f t="shared" ca="1" si="113"/>
        <v>52204.250115578048</v>
      </c>
      <c r="J214" s="334">
        <f t="shared" ca="1" si="113"/>
        <v>49246.142603262044</v>
      </c>
      <c r="K214" s="61">
        <f t="shared" ca="1" si="113"/>
        <v>43839.296510268556</v>
      </c>
      <c r="L214" s="61">
        <f t="shared" ca="1" si="113"/>
        <v>35457.909613251133</v>
      </c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">
      <c r="A215" s="1"/>
      <c r="B215" s="53"/>
      <c r="C215" s="53"/>
      <c r="D215" s="107"/>
      <c r="E215" s="40"/>
      <c r="F215" s="111"/>
      <c r="G215" s="83"/>
      <c r="H215" s="40"/>
      <c r="I215" s="338"/>
      <c r="J215" s="338"/>
      <c r="K215" s="40"/>
      <c r="L215" s="40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">
      <c r="A216" s="1"/>
      <c r="B216" s="58" t="s">
        <v>189</v>
      </c>
      <c r="C216" s="58"/>
      <c r="D216" s="107"/>
      <c r="E216" s="353">
        <f t="shared" ref="E216:L216" si="114">E208+E214</f>
        <v>19081</v>
      </c>
      <c r="F216" s="115">
        <f t="shared" si="114"/>
        <v>40519.0625</v>
      </c>
      <c r="G216" s="116">
        <f t="shared" si="114"/>
        <v>59600.0625</v>
      </c>
      <c r="H216" s="63">
        <f t="shared" ca="1" si="114"/>
        <v>61827.286479252929</v>
      </c>
      <c r="I216" s="335">
        <f t="shared" ca="1" si="114"/>
        <v>62545.893513066432</v>
      </c>
      <c r="J216" s="335">
        <f t="shared" ca="1" si="114"/>
        <v>62389.20456592516</v>
      </c>
      <c r="K216" s="63">
        <f t="shared" ca="1" si="114"/>
        <v>60646.981371381698</v>
      </c>
      <c r="L216" s="63">
        <f t="shared" ca="1" si="114"/>
        <v>57059.401852808136</v>
      </c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">
      <c r="A217" s="1"/>
      <c r="B217" s="53"/>
      <c r="C217" s="53"/>
      <c r="D217" s="107"/>
      <c r="E217" s="40"/>
      <c r="F217" s="111"/>
      <c r="G217" s="83"/>
      <c r="H217" s="40"/>
      <c r="I217" s="338"/>
      <c r="J217" s="338"/>
      <c r="K217" s="40"/>
      <c r="L217" s="40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">
      <c r="A218" s="1"/>
      <c r="B218" s="53" t="s">
        <v>60</v>
      </c>
      <c r="C218" s="53"/>
      <c r="D218" s="107"/>
      <c r="E218" s="27">
        <v>0</v>
      </c>
      <c r="F218" s="109">
        <f>K46</f>
        <v>1780.25</v>
      </c>
      <c r="G218" s="95">
        <f t="shared" ref="G218:G219" si="115">SUM(E218:F218)</f>
        <v>1780.25</v>
      </c>
      <c r="H218" s="33">
        <f>H132</f>
        <v>1869.2625</v>
      </c>
      <c r="I218" s="343">
        <f t="shared" ref="I218:L218" si="116">I132</f>
        <v>1962.725625</v>
      </c>
      <c r="J218" s="343">
        <f t="shared" si="116"/>
        <v>2060.8619062500002</v>
      </c>
      <c r="K218" s="33">
        <f t="shared" si="116"/>
        <v>2163.9050015625003</v>
      </c>
      <c r="L218" s="33">
        <f t="shared" si="116"/>
        <v>2272.1002516406252</v>
      </c>
      <c r="M218" s="40"/>
      <c r="N218" s="1"/>
      <c r="O218" s="1"/>
      <c r="P218" s="1"/>
      <c r="Q218" s="1"/>
      <c r="R218" s="1"/>
      <c r="S218" s="1"/>
      <c r="T218" s="1"/>
      <c r="U218" s="1"/>
    </row>
    <row r="219" spans="1:21" x14ac:dyDescent="0.2">
      <c r="A219" s="1"/>
      <c r="B219" s="53" t="s">
        <v>190</v>
      </c>
      <c r="C219" s="53"/>
      <c r="D219" s="107"/>
      <c r="E219" s="56">
        <f>'P&amp;L'!E86+'P&amp;L'!E87+'P&amp;L'!E89+'P&amp;L'!E90</f>
        <v>22101</v>
      </c>
      <c r="F219" s="114">
        <f>SUM(K47:K48)-E219-E44</f>
        <v>853626.6875</v>
      </c>
      <c r="G219" s="60">
        <f t="shared" si="115"/>
        <v>875727.6875</v>
      </c>
      <c r="H219" s="40">
        <f ca="1">G219+H70-SUM(H183:H184)</f>
        <v>877394.18236482609</v>
      </c>
      <c r="I219" s="338">
        <f t="shared" ref="I219:L219" ca="1" si="117">H219+I70-SUM(I183:I184)</f>
        <v>881847.63301834487</v>
      </c>
      <c r="J219" s="338">
        <f t="shared" ca="1" si="117"/>
        <v>888849.76336307521</v>
      </c>
      <c r="K219" s="40">
        <f t="shared" ca="1" si="117"/>
        <v>899627.6396051792</v>
      </c>
      <c r="L219" s="40">
        <f t="shared" ca="1" si="117"/>
        <v>915117.22286446556</v>
      </c>
      <c r="M219" s="40"/>
      <c r="N219" s="1"/>
      <c r="O219" s="1"/>
      <c r="P219" s="1"/>
      <c r="Q219" s="1"/>
      <c r="R219" s="1"/>
      <c r="S219" s="1"/>
      <c r="T219" s="1"/>
      <c r="U219" s="1"/>
    </row>
    <row r="220" spans="1:21" x14ac:dyDescent="0.2">
      <c r="A220" s="1"/>
      <c r="B220" s="58" t="s">
        <v>191</v>
      </c>
      <c r="C220" s="58"/>
      <c r="D220" s="107"/>
      <c r="E220" s="354">
        <f>SUM(E218:E219)</f>
        <v>22101</v>
      </c>
      <c r="F220" s="355">
        <f t="shared" ref="F220:L220" si="118">SUM(F218:F219)</f>
        <v>855406.9375</v>
      </c>
      <c r="G220" s="119">
        <f t="shared" si="118"/>
        <v>877507.9375</v>
      </c>
      <c r="H220" s="118">
        <f t="shared" ca="1" si="118"/>
        <v>879263.44486482604</v>
      </c>
      <c r="I220" s="346">
        <f t="shared" ca="1" si="118"/>
        <v>883810.35864334484</v>
      </c>
      <c r="J220" s="346">
        <f t="shared" ca="1" si="118"/>
        <v>890910.62526932522</v>
      </c>
      <c r="K220" s="118">
        <f t="shared" ca="1" si="118"/>
        <v>901791.54460674175</v>
      </c>
      <c r="L220" s="118">
        <f t="shared" ca="1" si="118"/>
        <v>917389.32311610621</v>
      </c>
      <c r="M220" s="79"/>
      <c r="N220" s="1"/>
      <c r="O220" s="1"/>
      <c r="P220" s="1"/>
      <c r="Q220" s="1"/>
      <c r="R220" s="1"/>
      <c r="S220" s="1"/>
      <c r="T220" s="1"/>
      <c r="U220" s="1"/>
    </row>
    <row r="221" spans="1:21" x14ac:dyDescent="0.2">
      <c r="A221" s="1"/>
      <c r="B221" s="53"/>
      <c r="C221" s="53"/>
      <c r="D221" s="107"/>
      <c r="E221" s="40"/>
      <c r="F221" s="111"/>
      <c r="G221" s="83"/>
      <c r="H221" s="40"/>
      <c r="I221" s="338"/>
      <c r="J221" s="338"/>
      <c r="K221" s="40"/>
      <c r="L221" s="40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">
      <c r="A222" s="1"/>
      <c r="B222" s="58" t="s">
        <v>192</v>
      </c>
      <c r="C222" s="58"/>
      <c r="D222" s="107"/>
      <c r="E222" s="63">
        <f>E216+E220</f>
        <v>41182</v>
      </c>
      <c r="F222" s="115">
        <f t="shared" ref="F222:L222" si="119">F216+F220</f>
        <v>895926</v>
      </c>
      <c r="G222" s="116">
        <f t="shared" si="119"/>
        <v>937108</v>
      </c>
      <c r="H222" s="63">
        <f t="shared" ca="1" si="119"/>
        <v>941090.73134407902</v>
      </c>
      <c r="I222" s="335">
        <f t="shared" ca="1" si="119"/>
        <v>946356.2521564113</v>
      </c>
      <c r="J222" s="335">
        <f t="shared" ca="1" si="119"/>
        <v>953299.82983525039</v>
      </c>
      <c r="K222" s="63">
        <f t="shared" ca="1" si="119"/>
        <v>962438.52597812342</v>
      </c>
      <c r="L222" s="63">
        <f t="shared" ca="1" si="119"/>
        <v>974448.72496891441</v>
      </c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">
      <c r="A223" s="1"/>
      <c r="B223" s="1"/>
      <c r="C223" s="1"/>
      <c r="D223" s="107"/>
      <c r="E223" s="40"/>
      <c r="F223" s="111"/>
      <c r="G223" s="83"/>
      <c r="H223" s="40"/>
      <c r="I223" s="338"/>
      <c r="J223" s="338"/>
      <c r="K223" s="40"/>
      <c r="L223" s="40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">
      <c r="A224" s="1"/>
      <c r="B224" s="53" t="s">
        <v>193</v>
      </c>
      <c r="C224" s="53"/>
      <c r="D224" s="107"/>
      <c r="E224" s="356">
        <f>ROUND(E202-E222,3)</f>
        <v>0</v>
      </c>
      <c r="F224" s="356">
        <f t="shared" ref="F224:L224" si="120">ROUND(F202-F222,3)</f>
        <v>0</v>
      </c>
      <c r="G224" s="358">
        <f t="shared" si="120"/>
        <v>0</v>
      </c>
      <c r="H224" s="325">
        <f t="shared" ca="1" si="120"/>
        <v>0</v>
      </c>
      <c r="I224" s="357">
        <f t="shared" ca="1" si="120"/>
        <v>0</v>
      </c>
      <c r="J224" s="357">
        <f t="shared" ca="1" si="120"/>
        <v>0</v>
      </c>
      <c r="K224" s="325">
        <f t="shared" ca="1" si="120"/>
        <v>0</v>
      </c>
      <c r="L224" s="325">
        <f t="shared" ca="1" si="120"/>
        <v>0</v>
      </c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">
      <c r="A225" s="1"/>
      <c r="B225" s="1"/>
      <c r="C225" s="1"/>
      <c r="D225" s="1"/>
      <c r="E225" s="1"/>
      <c r="F225" s="1"/>
      <c r="G225" s="1"/>
      <c r="H225" s="1"/>
      <c r="I225" s="339"/>
      <c r="J225" s="339"/>
      <c r="K225" s="1"/>
      <c r="L225" s="1"/>
      <c r="M225" s="65"/>
      <c r="N225" s="1"/>
      <c r="O225" s="1"/>
      <c r="P225" s="1"/>
      <c r="Q225" s="1"/>
      <c r="R225" s="1"/>
      <c r="S225" s="1"/>
      <c r="T225" s="1"/>
      <c r="U225" s="1"/>
    </row>
    <row r="226" spans="1:2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5"/>
      <c r="N226" s="1"/>
      <c r="O226" s="1"/>
      <c r="P226" s="1"/>
      <c r="Q226" s="1"/>
      <c r="R226" s="1"/>
      <c r="S226" s="1"/>
      <c r="T226" s="1"/>
      <c r="U226" s="1"/>
    </row>
    <row r="227" spans="1:21" x14ac:dyDescent="0.2">
      <c r="A227" s="2" t="s">
        <v>0</v>
      </c>
      <c r="B227" s="7" t="s">
        <v>194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">
      <c r="A228" s="1"/>
      <c r="B228" s="1"/>
      <c r="C228" s="1"/>
      <c r="D228" s="1"/>
      <c r="E228" s="1"/>
      <c r="F228" s="1"/>
      <c r="G228" s="51">
        <f>YEAR(G10)</f>
        <v>2022</v>
      </c>
      <c r="H228" s="52">
        <f>G228+1</f>
        <v>2023</v>
      </c>
      <c r="I228" s="329">
        <f t="shared" ref="I228:L228" si="121">H228+1</f>
        <v>2024</v>
      </c>
      <c r="J228" s="329">
        <f t="shared" si="121"/>
        <v>2025</v>
      </c>
      <c r="K228" s="52">
        <f t="shared" si="121"/>
        <v>2026</v>
      </c>
      <c r="L228" s="52">
        <f t="shared" si="121"/>
        <v>2027</v>
      </c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">
      <c r="A229" s="1"/>
      <c r="B229" s="1" t="s">
        <v>195</v>
      </c>
      <c r="C229" s="1"/>
      <c r="D229" s="1"/>
      <c r="E229" s="1"/>
      <c r="F229" s="1"/>
      <c r="G229" s="82"/>
      <c r="H229" s="33">
        <f ca="1">H68</f>
        <v>2346.6045208325895</v>
      </c>
      <c r="I229" s="343">
        <f t="shared" ref="I229:L229" ca="1" si="122">I68</f>
        <v>5548.8065356208308</v>
      </c>
      <c r="J229" s="343">
        <f t="shared" ca="1" si="122"/>
        <v>9275.3849554637709</v>
      </c>
      <c r="K229" s="33">
        <f t="shared" ca="1" si="122"/>
        <v>13744.01717558495</v>
      </c>
      <c r="L229" s="33">
        <f t="shared" ca="1" si="122"/>
        <v>19639.576139174471</v>
      </c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">
      <c r="A230" s="1"/>
      <c r="B230" s="1" t="s">
        <v>196</v>
      </c>
      <c r="C230" s="1"/>
      <c r="D230" s="1"/>
      <c r="E230" s="1"/>
      <c r="F230" s="1"/>
      <c r="G230" s="83"/>
      <c r="H230" s="40">
        <f t="shared" ref="H230:L230" ca="1" si="123">H256</f>
        <v>1957.3007818445276</v>
      </c>
      <c r="I230" s="338">
        <f t="shared" ca="1" si="123"/>
        <v>228.78085436813126</v>
      </c>
      <c r="J230" s="338">
        <f t="shared" ca="1" si="123"/>
        <v>1244.510465306123</v>
      </c>
      <c r="K230" s="40">
        <f t="shared" ca="1" si="123"/>
        <v>-35.633057114079293</v>
      </c>
      <c r="L230" s="40">
        <f t="shared" ca="1" si="123"/>
        <v>-2190.9330113908941</v>
      </c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">
      <c r="A231" s="1"/>
      <c r="B231" s="1" t="s">
        <v>197</v>
      </c>
      <c r="C231" s="1"/>
      <c r="D231" s="1"/>
      <c r="E231" s="1"/>
      <c r="F231" s="1"/>
      <c r="G231" s="83"/>
      <c r="H231" s="40">
        <f>-H261</f>
        <v>-2451.4377812253119</v>
      </c>
      <c r="I231" s="338">
        <f t="shared" ref="I231:L231" si="124">-I261</f>
        <v>-3206.8021319204272</v>
      </c>
      <c r="J231" s="338">
        <f t="shared" si="124"/>
        <v>-4194.9177711331977</v>
      </c>
      <c r="K231" s="40">
        <f t="shared" si="124"/>
        <v>-5487.5026218193161</v>
      </c>
      <c r="L231" s="40">
        <f t="shared" si="124"/>
        <v>-5742.6985065958725</v>
      </c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">
      <c r="A232" s="1"/>
      <c r="B232" s="1" t="s">
        <v>198</v>
      </c>
      <c r="C232" s="1"/>
      <c r="D232" s="1"/>
      <c r="E232" s="1"/>
      <c r="F232" s="1"/>
      <c r="G232" s="83"/>
      <c r="H232" s="40">
        <f>H270</f>
        <v>0</v>
      </c>
      <c r="I232" s="338">
        <f t="shared" ref="I232:L232" si="125">I270</f>
        <v>306.42972265316394</v>
      </c>
      <c r="J232" s="338">
        <f t="shared" si="125"/>
        <v>707.27998914321734</v>
      </c>
      <c r="K232" s="40">
        <f t="shared" si="125"/>
        <v>1231.644710534867</v>
      </c>
      <c r="L232" s="40">
        <f t="shared" si="125"/>
        <v>1917.5825382622816</v>
      </c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">
      <c r="A233" s="1"/>
      <c r="B233" s="1" t="s">
        <v>199</v>
      </c>
      <c r="C233" s="1"/>
      <c r="D233" s="1"/>
      <c r="E233" s="1"/>
      <c r="F233" s="1"/>
      <c r="G233" s="83"/>
      <c r="H233" s="120">
        <f ca="1">SUM(H229:H232)</f>
        <v>1852.4675214518052</v>
      </c>
      <c r="I233" s="336">
        <f t="shared" ref="I233:L233" ca="1" si="126">SUM(I229:I232)</f>
        <v>2877.2149807216988</v>
      </c>
      <c r="J233" s="336">
        <f t="shared" ca="1" si="126"/>
        <v>7032.2576387799127</v>
      </c>
      <c r="K233" s="71">
        <f t="shared" ca="1" si="126"/>
        <v>9452.5262071864217</v>
      </c>
      <c r="L233" s="71">
        <f t="shared" ca="1" si="126"/>
        <v>13623.527159449986</v>
      </c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">
      <c r="A234" s="1"/>
      <c r="B234" s="1" t="s">
        <v>200</v>
      </c>
      <c r="C234" s="1"/>
      <c r="D234" s="1"/>
      <c r="E234" s="1"/>
      <c r="F234" s="1"/>
      <c r="G234" s="83"/>
      <c r="H234" s="40">
        <f t="shared" ref="H234:L234" ca="1" si="127">H275</f>
        <v>-409</v>
      </c>
      <c r="I234" s="338">
        <f t="shared" ca="1" si="127"/>
        <v>0</v>
      </c>
      <c r="J234" s="338">
        <f t="shared" ca="1" si="127"/>
        <v>0</v>
      </c>
      <c r="K234" s="40">
        <f t="shared" ca="1" si="127"/>
        <v>0</v>
      </c>
      <c r="L234" s="40">
        <f t="shared" ca="1" si="127"/>
        <v>0</v>
      </c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">
      <c r="A235" s="1"/>
      <c r="B235" s="1" t="s">
        <v>201</v>
      </c>
      <c r="C235" s="1"/>
      <c r="D235" s="1"/>
      <c r="E235" s="1"/>
      <c r="F235" s="1"/>
      <c r="G235" s="83"/>
      <c r="H235" s="61">
        <f ca="1">SUM(H233:H234)</f>
        <v>1443.4675214518052</v>
      </c>
      <c r="I235" s="334">
        <f t="shared" ref="I235:L235" ca="1" si="128">SUM(I233:I234)</f>
        <v>2877.2149807216988</v>
      </c>
      <c r="J235" s="334">
        <f t="shared" ca="1" si="128"/>
        <v>7032.2576387799127</v>
      </c>
      <c r="K235" s="61">
        <f t="shared" ca="1" si="128"/>
        <v>9452.5262071864217</v>
      </c>
      <c r="L235" s="61">
        <f t="shared" ca="1" si="128"/>
        <v>13623.527159449986</v>
      </c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">
      <c r="A236" s="1"/>
      <c r="B236" s="1"/>
      <c r="C236" s="1"/>
      <c r="D236" s="9" t="s">
        <v>202</v>
      </c>
      <c r="E236" s="9" t="s">
        <v>203</v>
      </c>
      <c r="F236" s="9" t="s">
        <v>204</v>
      </c>
      <c r="G236" s="83"/>
      <c r="H236" s="1"/>
      <c r="I236" s="339"/>
      <c r="J236" s="33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">
      <c r="A237" s="1"/>
      <c r="B237" s="23" t="s">
        <v>88</v>
      </c>
      <c r="C237" s="1"/>
      <c r="D237" s="121">
        <v>7.0000000000000007E-2</v>
      </c>
      <c r="E237" s="121">
        <v>0.21</v>
      </c>
      <c r="F237" s="122">
        <f>SUM(D237:E237)</f>
        <v>0.28000000000000003</v>
      </c>
      <c r="G237" s="83"/>
      <c r="H237" s="63">
        <f ca="1">MAX(H235*$F$237,0)</f>
        <v>404.1709060065055</v>
      </c>
      <c r="I237" s="335">
        <f t="shared" ref="I237:L237" ca="1" si="129">MAX(I235*$F$237,0)</f>
        <v>805.62019460207568</v>
      </c>
      <c r="J237" s="335">
        <f t="shared" ca="1" si="129"/>
        <v>1969.0321388583757</v>
      </c>
      <c r="K237" s="63">
        <f t="shared" ca="1" si="129"/>
        <v>2646.7073380121983</v>
      </c>
      <c r="L237" s="63">
        <f t="shared" ca="1" si="129"/>
        <v>3814.5876046459966</v>
      </c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">
      <c r="A238" s="1"/>
      <c r="B238" s="1"/>
      <c r="C238" s="1"/>
      <c r="D238" s="1"/>
      <c r="E238" s="1"/>
      <c r="F238" s="1"/>
      <c r="G238" s="83"/>
      <c r="H238" s="1"/>
      <c r="I238" s="339"/>
      <c r="J238" s="33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">
      <c r="A239" s="1"/>
      <c r="B239" s="1"/>
      <c r="C239" s="1"/>
      <c r="D239" s="1"/>
      <c r="E239" s="9" t="s">
        <v>48</v>
      </c>
      <c r="F239" s="1"/>
      <c r="G239" s="83"/>
      <c r="H239" s="1"/>
      <c r="I239" s="339"/>
      <c r="J239" s="33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">
      <c r="A240" s="1"/>
      <c r="B240" s="43" t="s">
        <v>205</v>
      </c>
      <c r="C240" s="1"/>
      <c r="D240" s="1"/>
      <c r="E240" s="9" t="s">
        <v>206</v>
      </c>
      <c r="F240" s="1"/>
      <c r="G240" s="83"/>
      <c r="H240" s="1"/>
      <c r="I240" s="339"/>
      <c r="J240" s="33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">
      <c r="A241" s="1"/>
      <c r="B241" s="6" t="s">
        <v>207</v>
      </c>
      <c r="C241" s="1"/>
      <c r="D241" s="1"/>
      <c r="E241" s="123">
        <v>2024</v>
      </c>
      <c r="F241" s="1"/>
      <c r="G241" s="83"/>
      <c r="H241" s="124" t="str">
        <f>IF(H228&gt;$E$241,"EBIT","EBITDA")</f>
        <v>EBITDA</v>
      </c>
      <c r="I241" s="347" t="str">
        <f t="shared" ref="I241:L241" si="130">IF(I228&gt;$E$241,"EBIT","EBITDA")</f>
        <v>EBITDA</v>
      </c>
      <c r="J241" s="347" t="str">
        <f t="shared" si="130"/>
        <v>EBIT</v>
      </c>
      <c r="K241" s="124" t="str">
        <f t="shared" si="130"/>
        <v>EBIT</v>
      </c>
      <c r="L241" s="124" t="str">
        <f t="shared" si="130"/>
        <v>EBIT</v>
      </c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">
      <c r="A242" s="1"/>
      <c r="B242" s="1" t="s">
        <v>208</v>
      </c>
      <c r="C242" s="1"/>
      <c r="D242" s="1"/>
      <c r="E242" s="1"/>
      <c r="F242" s="1"/>
      <c r="G242" s="83"/>
      <c r="H242" s="33">
        <f>IF(H228&gt;$E$241,H65-H261+H270,H62+H261-H270)</f>
        <v>11766.639723650846</v>
      </c>
      <c r="I242" s="343">
        <f t="shared" ref="I242:L242" si="131">IF(I228&gt;$E$241,I65-I261+I270,I62+I261-I270)</f>
        <v>15085.87826914206</v>
      </c>
      <c r="J242" s="343">
        <f t="shared" si="131"/>
        <v>10046.082341114163</v>
      </c>
      <c r="K242" s="33">
        <f t="shared" si="131"/>
        <v>13503.608867409173</v>
      </c>
      <c r="L242" s="33">
        <f t="shared" si="131"/>
        <v>19462.181656357123</v>
      </c>
      <c r="M242" s="65"/>
      <c r="N242" s="1"/>
      <c r="O242" s="1"/>
      <c r="P242" s="1"/>
      <c r="Q242" s="1"/>
      <c r="R242" s="1"/>
      <c r="S242" s="1"/>
      <c r="T242" s="1"/>
      <c r="U242" s="1"/>
    </row>
    <row r="243" spans="1:21" x14ac:dyDescent="0.2">
      <c r="A243" s="1"/>
      <c r="B243" s="1"/>
      <c r="C243" s="1"/>
      <c r="D243" s="1"/>
      <c r="E243" s="1"/>
      <c r="F243" s="1"/>
      <c r="G243" s="83"/>
      <c r="H243" s="40"/>
      <c r="I243" s="338"/>
      <c r="J243" s="338"/>
      <c r="K243" s="40"/>
      <c r="L243" s="40"/>
      <c r="M243" s="65"/>
      <c r="N243" s="1"/>
      <c r="O243" s="1"/>
      <c r="P243" s="1"/>
      <c r="Q243" s="1"/>
      <c r="R243" s="1"/>
      <c r="S243" s="1"/>
      <c r="T243" s="1"/>
      <c r="U243" s="1"/>
    </row>
    <row r="244" spans="1:21" x14ac:dyDescent="0.2">
      <c r="A244" s="1"/>
      <c r="B244" s="1" t="s">
        <v>209</v>
      </c>
      <c r="C244" s="1"/>
      <c r="D244" s="1"/>
      <c r="E244" s="121">
        <v>0.3</v>
      </c>
      <c r="F244" s="1"/>
      <c r="G244" s="83"/>
      <c r="H244" s="40">
        <f>MAX($E$244*H242,0)</f>
        <v>3529.9919170952535</v>
      </c>
      <c r="I244" s="338">
        <f t="shared" ref="I244:L244" si="132">MAX($E$244*I242,0)</f>
        <v>4525.7634807426175</v>
      </c>
      <c r="J244" s="338">
        <f t="shared" si="132"/>
        <v>3013.8247023342487</v>
      </c>
      <c r="K244" s="40">
        <f t="shared" si="132"/>
        <v>4051.0826602227517</v>
      </c>
      <c r="L244" s="40">
        <f t="shared" si="132"/>
        <v>5838.6544969071365</v>
      </c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">
      <c r="A245" s="1"/>
      <c r="B245" s="1" t="s">
        <v>210</v>
      </c>
      <c r="C245" s="1"/>
      <c r="D245" s="1"/>
      <c r="E245" s="1"/>
      <c r="F245" s="1"/>
      <c r="G245" s="60"/>
      <c r="H245" s="40">
        <f ca="1">H181</f>
        <v>5487.2926989397811</v>
      </c>
      <c r="I245" s="338">
        <f t="shared" ref="I245:L245" ca="1" si="133">I181</f>
        <v>4754.5443351107488</v>
      </c>
      <c r="J245" s="338">
        <f t="shared" ca="1" si="133"/>
        <v>4258.3351676403718</v>
      </c>
      <c r="K245" s="40">
        <f t="shared" ca="1" si="133"/>
        <v>4015.4496031086724</v>
      </c>
      <c r="L245" s="40">
        <f t="shared" ca="1" si="133"/>
        <v>3647.7214855162424</v>
      </c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">
      <c r="A246" s="1"/>
      <c r="B246" s="1" t="s">
        <v>211</v>
      </c>
      <c r="C246" s="1"/>
      <c r="D246" s="1"/>
      <c r="E246" s="1"/>
      <c r="F246" s="1"/>
      <c r="G246" s="83"/>
      <c r="H246" s="61">
        <f ca="1">MIN(H244:H245)</f>
        <v>3529.9919170952535</v>
      </c>
      <c r="I246" s="334">
        <f t="shared" ref="I246:L246" ca="1" si="134">MIN(I244:I245)</f>
        <v>4525.7634807426175</v>
      </c>
      <c r="J246" s="334">
        <f t="shared" ca="1" si="134"/>
        <v>3013.8247023342487</v>
      </c>
      <c r="K246" s="61">
        <f t="shared" ca="1" si="134"/>
        <v>4015.4496031086724</v>
      </c>
      <c r="L246" s="61">
        <f t="shared" ca="1" si="134"/>
        <v>3647.7214855162424</v>
      </c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">
      <c r="A247" s="1"/>
      <c r="B247" s="1"/>
      <c r="C247" s="1"/>
      <c r="D247" s="1"/>
      <c r="E247" s="1"/>
      <c r="F247" s="1"/>
      <c r="G247" s="83"/>
      <c r="H247" s="1"/>
      <c r="I247" s="339"/>
      <c r="J247" s="33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">
      <c r="A248" s="1"/>
      <c r="B248" s="1" t="s">
        <v>212</v>
      </c>
      <c r="C248" s="1"/>
      <c r="D248" s="1"/>
      <c r="E248" s="1"/>
      <c r="F248" s="1"/>
      <c r="G248" s="83"/>
      <c r="H248" s="40">
        <f ca="1">H245-H246</f>
        <v>1957.3007818445276</v>
      </c>
      <c r="I248" s="338">
        <f t="shared" ref="I248:L248" ca="1" si="135">I245-I246</f>
        <v>228.78085436813126</v>
      </c>
      <c r="J248" s="338">
        <f t="shared" ca="1" si="135"/>
        <v>1244.510465306123</v>
      </c>
      <c r="K248" s="40">
        <f t="shared" ca="1" si="135"/>
        <v>0</v>
      </c>
      <c r="L248" s="40">
        <f t="shared" ca="1" si="135"/>
        <v>0</v>
      </c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">
      <c r="A249" s="1"/>
      <c r="B249" s="1"/>
      <c r="C249" s="1"/>
      <c r="D249" s="1"/>
      <c r="E249" s="1"/>
      <c r="F249" s="1"/>
      <c r="G249" s="83"/>
      <c r="H249" s="1"/>
      <c r="I249" s="339"/>
      <c r="J249" s="33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">
      <c r="A250" s="1"/>
      <c r="B250" s="6" t="s">
        <v>213</v>
      </c>
      <c r="C250" s="1"/>
      <c r="D250" s="1"/>
      <c r="E250" s="1"/>
      <c r="F250" s="1"/>
      <c r="G250" s="83"/>
      <c r="H250" s="1"/>
      <c r="I250" s="339"/>
      <c r="J250" s="33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">
      <c r="A251" s="1"/>
      <c r="B251" s="1" t="s">
        <v>113</v>
      </c>
      <c r="C251" s="1"/>
      <c r="D251" s="1"/>
      <c r="E251" s="1"/>
      <c r="F251" s="1"/>
      <c r="G251" s="83"/>
      <c r="H251" s="27">
        <v>0</v>
      </c>
      <c r="I251" s="343">
        <f ca="1">H254</f>
        <v>1957.3007818445276</v>
      </c>
      <c r="J251" s="343">
        <f t="shared" ref="J251:L251" ca="1" si="136">I254</f>
        <v>2186.0816362126589</v>
      </c>
      <c r="K251" s="343">
        <f t="shared" ca="1" si="136"/>
        <v>3430.5921015187819</v>
      </c>
      <c r="L251" s="343">
        <f t="shared" ca="1" si="136"/>
        <v>3394.9590444047026</v>
      </c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">
      <c r="A252" s="1"/>
      <c r="B252" s="1" t="s">
        <v>214</v>
      </c>
      <c r="C252" s="1"/>
      <c r="D252" s="1"/>
      <c r="E252" s="1"/>
      <c r="F252" s="1"/>
      <c r="G252" s="83"/>
      <c r="H252" s="40">
        <f ca="1">H248</f>
        <v>1957.3007818445276</v>
      </c>
      <c r="I252" s="338">
        <f t="shared" ref="I252:L252" ca="1" si="137">I248</f>
        <v>228.78085436813126</v>
      </c>
      <c r="J252" s="338">
        <f t="shared" ca="1" si="137"/>
        <v>1244.510465306123</v>
      </c>
      <c r="K252" s="338">
        <f t="shared" ca="1" si="137"/>
        <v>0</v>
      </c>
      <c r="L252" s="338">
        <f t="shared" ca="1" si="137"/>
        <v>0</v>
      </c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">
      <c r="A253" s="1"/>
      <c r="B253" s="1" t="s">
        <v>215</v>
      </c>
      <c r="C253" s="1"/>
      <c r="D253" s="1"/>
      <c r="E253" s="1"/>
      <c r="F253" s="1"/>
      <c r="G253" s="83"/>
      <c r="H253" s="40">
        <f ca="1">IF(H248&gt;0,0,-MIN(H251,H244-H245))</f>
        <v>0</v>
      </c>
      <c r="I253" s="338">
        <f t="shared" ref="I253:L253" ca="1" si="138">IF(I248&gt;0,0,-MIN(I251,I244-I245))</f>
        <v>0</v>
      </c>
      <c r="J253" s="338">
        <f t="shared" ca="1" si="138"/>
        <v>0</v>
      </c>
      <c r="K253" s="338">
        <f t="shared" ca="1" si="138"/>
        <v>-35.633057114079293</v>
      </c>
      <c r="L253" s="338">
        <f t="shared" ca="1" si="138"/>
        <v>-2190.9330113908941</v>
      </c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">
      <c r="A254" s="1"/>
      <c r="B254" s="1" t="s">
        <v>115</v>
      </c>
      <c r="C254" s="1"/>
      <c r="D254" s="1"/>
      <c r="E254" s="1"/>
      <c r="F254" s="1"/>
      <c r="G254" s="83"/>
      <c r="H254" s="61">
        <f ca="1">SUM(H251:H253)</f>
        <v>1957.3007818445276</v>
      </c>
      <c r="I254" s="334">
        <f t="shared" ref="I254:L254" ca="1" si="139">SUM(I251:I253)</f>
        <v>2186.0816362126589</v>
      </c>
      <c r="J254" s="334">
        <f t="shared" ca="1" si="139"/>
        <v>3430.5921015187819</v>
      </c>
      <c r="K254" s="334">
        <f t="shared" ca="1" si="139"/>
        <v>3394.9590444047026</v>
      </c>
      <c r="L254" s="334">
        <f t="shared" ca="1" si="139"/>
        <v>1204.0260330138085</v>
      </c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">
      <c r="A255" s="1"/>
      <c r="B255" s="1"/>
      <c r="C255" s="1"/>
      <c r="D255" s="1"/>
      <c r="E255" s="1"/>
      <c r="F255" s="1"/>
      <c r="G255" s="83"/>
      <c r="H255" s="1"/>
      <c r="I255" s="339"/>
      <c r="J255" s="33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">
      <c r="A256" s="1"/>
      <c r="B256" s="1" t="s">
        <v>196</v>
      </c>
      <c r="C256" s="1"/>
      <c r="D256" s="1"/>
      <c r="E256" s="1"/>
      <c r="F256" s="1"/>
      <c r="G256" s="83"/>
      <c r="H256" s="40">
        <f ca="1">SUM(H252:H253)</f>
        <v>1957.3007818445276</v>
      </c>
      <c r="I256" s="338">
        <f t="shared" ref="I256:L256" ca="1" si="140">SUM(I252:I253)</f>
        <v>228.78085436813126</v>
      </c>
      <c r="J256" s="338">
        <f t="shared" ca="1" si="140"/>
        <v>1244.510465306123</v>
      </c>
      <c r="K256" s="338">
        <f t="shared" ca="1" si="140"/>
        <v>-35.633057114079293</v>
      </c>
      <c r="L256" s="338">
        <f t="shared" ca="1" si="140"/>
        <v>-2190.9330113908941</v>
      </c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">
      <c r="A257" s="1"/>
      <c r="B257" s="1"/>
      <c r="C257" s="1"/>
      <c r="D257" s="1"/>
      <c r="E257" s="1"/>
      <c r="F257" s="1"/>
      <c r="G257" s="83"/>
      <c r="H257" s="1"/>
      <c r="I257" s="339"/>
      <c r="J257" s="33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">
      <c r="A258" s="1"/>
      <c r="B258" s="43" t="s">
        <v>216</v>
      </c>
      <c r="C258" s="1"/>
      <c r="D258" s="1"/>
      <c r="E258" s="1"/>
      <c r="F258" s="1"/>
      <c r="G258" s="83"/>
      <c r="H258" s="1"/>
      <c r="I258" s="339"/>
      <c r="J258" s="33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">
      <c r="A259" s="1"/>
      <c r="B259" s="1" t="s">
        <v>217</v>
      </c>
      <c r="C259" s="1"/>
      <c r="D259" s="125" t="s">
        <v>218</v>
      </c>
      <c r="E259" s="126">
        <v>2027</v>
      </c>
      <c r="F259" s="121">
        <v>0.2</v>
      </c>
      <c r="G259" s="127"/>
      <c r="H259" s="93">
        <f>IF(H228&lt;$E$259,100%,MAX(G259-$F$259,0))</f>
        <v>1</v>
      </c>
      <c r="I259" s="152">
        <f t="shared" ref="I259:L259" si="141">IF(I228&lt;$E$259,100%,MAX(H259-$F$259,0))</f>
        <v>1</v>
      </c>
      <c r="J259" s="152">
        <f t="shared" si="141"/>
        <v>1</v>
      </c>
      <c r="K259" s="93">
        <f t="shared" si="141"/>
        <v>1</v>
      </c>
      <c r="L259" s="93">
        <f t="shared" si="141"/>
        <v>0.8</v>
      </c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">
      <c r="A260" s="1"/>
      <c r="B260" s="1" t="s">
        <v>219</v>
      </c>
      <c r="C260" s="1"/>
      <c r="D260" s="1"/>
      <c r="E260" s="1"/>
      <c r="F260" s="1"/>
      <c r="G260" s="83"/>
      <c r="H260" s="40">
        <f>-H83</f>
        <v>2451.4377812253119</v>
      </c>
      <c r="I260" s="338">
        <f t="shared" ref="I260:L260" si="142">-I83</f>
        <v>3206.8021319204272</v>
      </c>
      <c r="J260" s="338">
        <f t="shared" si="142"/>
        <v>4194.9177711331977</v>
      </c>
      <c r="K260" s="40">
        <f t="shared" si="142"/>
        <v>5487.5026218193161</v>
      </c>
      <c r="L260" s="40">
        <f t="shared" si="142"/>
        <v>7178.3731332448397</v>
      </c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">
      <c r="A261" s="1"/>
      <c r="B261" s="1" t="s">
        <v>197</v>
      </c>
      <c r="C261" s="1"/>
      <c r="D261" s="1"/>
      <c r="E261" s="128">
        <v>1</v>
      </c>
      <c r="F261" s="1"/>
      <c r="G261" s="83"/>
      <c r="H261" s="40">
        <f>IF($E$261=1,H259*H260,0)</f>
        <v>2451.4377812253119</v>
      </c>
      <c r="I261" s="338">
        <f t="shared" ref="I261:L261" si="143">IF($E$261=1,I259*I260,0)</f>
        <v>3206.8021319204272</v>
      </c>
      <c r="J261" s="338">
        <f t="shared" si="143"/>
        <v>4194.9177711331977</v>
      </c>
      <c r="K261" s="40">
        <f t="shared" si="143"/>
        <v>5487.5026218193161</v>
      </c>
      <c r="L261" s="40">
        <f t="shared" si="143"/>
        <v>5742.6985065958725</v>
      </c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">
      <c r="A262" s="1"/>
      <c r="B262" s="1"/>
      <c r="C262" s="1"/>
      <c r="D262" s="1"/>
      <c r="E262" s="1"/>
      <c r="F262" s="1"/>
      <c r="G262" s="83"/>
      <c r="H262" s="1"/>
      <c r="I262" s="339"/>
      <c r="J262" s="33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">
      <c r="A263" s="1"/>
      <c r="B263" s="43" t="s">
        <v>220</v>
      </c>
      <c r="C263" s="1"/>
      <c r="D263" s="1"/>
      <c r="E263" s="1"/>
      <c r="F263" s="1"/>
      <c r="G263" s="83"/>
      <c r="H263" s="1"/>
      <c r="I263" s="339"/>
      <c r="J263" s="33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">
      <c r="A264" s="1"/>
      <c r="B264" s="1" t="str">
        <f>G264&amp;" Cohort"</f>
        <v>2023 Cohort</v>
      </c>
      <c r="C264" s="1"/>
      <c r="D264" s="125" t="s">
        <v>221</v>
      </c>
      <c r="E264" s="129">
        <v>8</v>
      </c>
      <c r="F264" s="1"/>
      <c r="G264" s="359">
        <f t="array" ref="G264:G268">TRANSPOSE(H228:L228)</f>
        <v>2023</v>
      </c>
      <c r="H264" s="130">
        <f>H$261/$E$264</f>
        <v>306.42972265316399</v>
      </c>
      <c r="I264" s="130">
        <f>H264</f>
        <v>306.42972265316399</v>
      </c>
      <c r="J264" s="130">
        <f t="shared" ref="J264:L264" si="144">I264</f>
        <v>306.42972265316399</v>
      </c>
      <c r="K264" s="130">
        <f t="shared" si="144"/>
        <v>306.42972265316399</v>
      </c>
      <c r="L264" s="130">
        <f t="shared" si="144"/>
        <v>306.42972265316399</v>
      </c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">
      <c r="A265" s="1"/>
      <c r="B265" s="1" t="str">
        <f t="shared" ref="B265:B268" si="145">G265&amp;" Cohort"</f>
        <v>2024 Cohort</v>
      </c>
      <c r="C265" s="1"/>
      <c r="D265" s="1"/>
      <c r="E265" s="1"/>
      <c r="F265" s="1"/>
      <c r="G265" s="359">
        <v>2024</v>
      </c>
      <c r="H265" s="131"/>
      <c r="I265" s="130">
        <f>I$261/$E$264</f>
        <v>400.8502664900534</v>
      </c>
      <c r="J265" s="132">
        <f>I265</f>
        <v>400.8502664900534</v>
      </c>
      <c r="K265" s="132">
        <f t="shared" ref="K265:L265" si="146">J265</f>
        <v>400.8502664900534</v>
      </c>
      <c r="L265" s="132">
        <f t="shared" si="146"/>
        <v>400.8502664900534</v>
      </c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">
      <c r="A266" s="1"/>
      <c r="B266" s="1" t="str">
        <f t="shared" si="145"/>
        <v>2025 Cohort</v>
      </c>
      <c r="C266" s="1"/>
      <c r="D266" s="1"/>
      <c r="E266" s="1"/>
      <c r="F266" s="1"/>
      <c r="G266" s="359">
        <v>2025</v>
      </c>
      <c r="H266" s="131"/>
      <c r="I266" s="348"/>
      <c r="J266" s="130">
        <f>J$261/$E$264</f>
        <v>524.36472139164971</v>
      </c>
      <c r="K266" s="132">
        <f>J266</f>
        <v>524.36472139164971</v>
      </c>
      <c r="L266" s="132">
        <f>K266</f>
        <v>524.36472139164971</v>
      </c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">
      <c r="A267" s="1"/>
      <c r="B267" s="1" t="str">
        <f t="shared" si="145"/>
        <v>2026 Cohort</v>
      </c>
      <c r="C267" s="1"/>
      <c r="D267" s="1"/>
      <c r="E267" s="1"/>
      <c r="F267" s="1"/>
      <c r="G267" s="359">
        <v>2026</v>
      </c>
      <c r="H267" s="131"/>
      <c r="I267" s="348"/>
      <c r="J267" s="348"/>
      <c r="K267" s="130">
        <f>K$261/$E$264</f>
        <v>685.93782772741451</v>
      </c>
      <c r="L267" s="132">
        <f>K267</f>
        <v>685.93782772741451</v>
      </c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">
      <c r="A268" s="1"/>
      <c r="B268" s="1" t="str">
        <f t="shared" si="145"/>
        <v>2027 Cohort</v>
      </c>
      <c r="C268" s="1"/>
      <c r="D268" s="1"/>
      <c r="E268" s="1"/>
      <c r="F268" s="1"/>
      <c r="G268" s="359">
        <v>2027</v>
      </c>
      <c r="H268" s="133"/>
      <c r="I268" s="349"/>
      <c r="J268" s="349"/>
      <c r="K268" s="133"/>
      <c r="L268" s="130">
        <f>L$261/$E$264</f>
        <v>717.83731332448406</v>
      </c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">
      <c r="A269" s="1"/>
      <c r="B269" s="25" t="s">
        <v>222</v>
      </c>
      <c r="C269" s="1"/>
      <c r="D269" s="1"/>
      <c r="E269" s="1"/>
      <c r="F269" s="1"/>
      <c r="G269" s="83"/>
      <c r="H269" s="120">
        <f>-H264</f>
        <v>-306.42972265316399</v>
      </c>
      <c r="I269" s="71">
        <f>-I265</f>
        <v>-400.8502664900534</v>
      </c>
      <c r="J269" s="71">
        <f>-J266</f>
        <v>-524.36472139164971</v>
      </c>
      <c r="K269" s="71">
        <f>-K267</f>
        <v>-685.93782772741451</v>
      </c>
      <c r="L269" s="71">
        <f>-L268</f>
        <v>-717.83731332448406</v>
      </c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">
      <c r="A270" s="1"/>
      <c r="B270" s="1" t="s">
        <v>198</v>
      </c>
      <c r="C270" s="1"/>
      <c r="D270" s="1"/>
      <c r="E270" s="1"/>
      <c r="F270" s="1"/>
      <c r="G270" s="83"/>
      <c r="H270" s="120">
        <f>SUM(H264:H269)</f>
        <v>0</v>
      </c>
      <c r="I270" s="71">
        <f t="shared" ref="I270:L270" si="147">SUM(I264:I269)</f>
        <v>306.42972265316394</v>
      </c>
      <c r="J270" s="71">
        <f t="shared" si="147"/>
        <v>707.27998914321734</v>
      </c>
      <c r="K270" s="71">
        <f t="shared" si="147"/>
        <v>1231.644710534867</v>
      </c>
      <c r="L270" s="71">
        <f t="shared" si="147"/>
        <v>1917.5825382622816</v>
      </c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">
      <c r="A271" s="1"/>
      <c r="B271" s="1"/>
      <c r="C271" s="1"/>
      <c r="D271" s="1"/>
      <c r="E271" s="1"/>
      <c r="F271" s="1"/>
      <c r="G271" s="83"/>
      <c r="H271" s="1"/>
      <c r="I271" s="339"/>
      <c r="J271" s="33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">
      <c r="A272" s="1"/>
      <c r="B272" s="43" t="s">
        <v>223</v>
      </c>
      <c r="C272" s="1"/>
      <c r="D272" s="1"/>
      <c r="E272" s="1"/>
      <c r="F272" s="1"/>
      <c r="G272" s="83"/>
      <c r="H272" s="1"/>
      <c r="I272" s="339"/>
      <c r="J272" s="33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">
      <c r="A273" s="1"/>
      <c r="B273" s="1" t="s">
        <v>113</v>
      </c>
      <c r="C273" s="1"/>
      <c r="D273" s="1"/>
      <c r="E273" s="1"/>
      <c r="F273" s="134"/>
      <c r="G273" s="83"/>
      <c r="H273" s="70">
        <v>409</v>
      </c>
      <c r="I273" s="40">
        <f ca="1">H276</f>
        <v>0</v>
      </c>
      <c r="J273" s="40">
        <f t="shared" ref="J273:L273" ca="1" si="148">I276</f>
        <v>0</v>
      </c>
      <c r="K273" s="40">
        <f t="shared" ca="1" si="148"/>
        <v>0</v>
      </c>
      <c r="L273" s="40">
        <f t="shared" ca="1" si="148"/>
        <v>0</v>
      </c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">
      <c r="A274" s="1"/>
      <c r="B274" s="1" t="s">
        <v>214</v>
      </c>
      <c r="C274" s="1"/>
      <c r="D274" s="1"/>
      <c r="E274" s="1"/>
      <c r="F274" s="1"/>
      <c r="G274" s="83"/>
      <c r="H274" s="40">
        <f ca="1">-MIN(H233,0)</f>
        <v>0</v>
      </c>
      <c r="I274" s="40">
        <f t="shared" ref="I274:L274" ca="1" si="149">-MIN(I233,0)</f>
        <v>0</v>
      </c>
      <c r="J274" s="40">
        <f t="shared" ca="1" si="149"/>
        <v>0</v>
      </c>
      <c r="K274" s="40">
        <f t="shared" ca="1" si="149"/>
        <v>0</v>
      </c>
      <c r="L274" s="40">
        <f t="shared" ca="1" si="149"/>
        <v>0</v>
      </c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">
      <c r="A275" s="1"/>
      <c r="B275" s="1" t="s">
        <v>200</v>
      </c>
      <c r="C275" s="1"/>
      <c r="D275" s="125" t="s">
        <v>224</v>
      </c>
      <c r="E275" s="121">
        <v>0.8</v>
      </c>
      <c r="F275" s="1"/>
      <c r="G275" s="83"/>
      <c r="H275" s="40">
        <f ca="1">IF(H233&gt;0,-MIN(H273,MAX(H233*$E$275,0)),0)</f>
        <v>-409</v>
      </c>
      <c r="I275" s="40">
        <f t="shared" ref="I275:L275" ca="1" si="150">IF(I233&gt;0,-MIN(I273,MAX(I233*$E$275,0)),0)</f>
        <v>0</v>
      </c>
      <c r="J275" s="40">
        <f t="shared" ca="1" si="150"/>
        <v>0</v>
      </c>
      <c r="K275" s="40">
        <f t="shared" ca="1" si="150"/>
        <v>0</v>
      </c>
      <c r="L275" s="40">
        <f t="shared" ca="1" si="150"/>
        <v>0</v>
      </c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">
      <c r="A276" s="1"/>
      <c r="B276" s="1" t="s">
        <v>115</v>
      </c>
      <c r="C276" s="1"/>
      <c r="D276" s="1"/>
      <c r="E276" s="1"/>
      <c r="F276" s="1"/>
      <c r="G276" s="83"/>
      <c r="H276" s="120">
        <f ca="1">SUM(H273:H275)</f>
        <v>0</v>
      </c>
      <c r="I276" s="71">
        <f t="shared" ref="I276:L276" ca="1" si="151">SUM(I273:I275)</f>
        <v>0</v>
      </c>
      <c r="J276" s="71">
        <f t="shared" ca="1" si="151"/>
        <v>0</v>
      </c>
      <c r="K276" s="71">
        <f t="shared" ca="1" si="151"/>
        <v>0</v>
      </c>
      <c r="L276" s="71">
        <f t="shared" ca="1" si="151"/>
        <v>0</v>
      </c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">
      <c r="A277" s="1"/>
      <c r="B277" s="1"/>
      <c r="C277" s="1"/>
      <c r="D277" s="1"/>
      <c r="E277" s="1"/>
      <c r="F277" s="1"/>
      <c r="G277" s="1"/>
      <c r="H277" s="1"/>
      <c r="I277" s="339"/>
      <c r="J277" s="33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">
      <c r="A278" s="1"/>
      <c r="B278" s="1"/>
      <c r="C278" s="1"/>
      <c r="D278" s="1"/>
      <c r="E278" s="1"/>
      <c r="F278" s="1"/>
      <c r="G278" s="1"/>
      <c r="H278" s="1"/>
      <c r="I278" s="339"/>
      <c r="J278" s="33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">
      <c r="A279" s="2" t="s">
        <v>0</v>
      </c>
      <c r="B279" s="382" t="s">
        <v>225</v>
      </c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">
      <c r="A280" s="1"/>
      <c r="B280" s="1"/>
      <c r="C280" s="1"/>
      <c r="D280" s="1"/>
      <c r="E280" s="1"/>
      <c r="F280" s="1"/>
      <c r="G280" s="51">
        <f>YEAR(G10)</f>
        <v>2022</v>
      </c>
      <c r="H280" s="52">
        <f>G280+1</f>
        <v>2023</v>
      </c>
      <c r="I280" s="329">
        <f t="shared" ref="I280:L280" si="152">H280+1</f>
        <v>2024</v>
      </c>
      <c r="J280" s="329">
        <f t="shared" si="152"/>
        <v>2025</v>
      </c>
      <c r="K280" s="52">
        <f t="shared" si="152"/>
        <v>2026</v>
      </c>
      <c r="L280" s="52">
        <f t="shared" si="152"/>
        <v>2027</v>
      </c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">
      <c r="A281" s="1"/>
      <c r="B281" s="1" t="s">
        <v>226</v>
      </c>
      <c r="C281" s="1"/>
      <c r="D281" s="1"/>
      <c r="E281" s="1"/>
      <c r="F281" s="1"/>
      <c r="G281" s="1"/>
      <c r="H281" s="33">
        <f>H62</f>
        <v>9315.2019424255341</v>
      </c>
      <c r="I281" s="343">
        <f t="shared" ref="I281:L281" si="153">I62</f>
        <v>12185.505859874796</v>
      </c>
      <c r="J281" s="343">
        <f t="shared" si="153"/>
        <v>15940.239833639011</v>
      </c>
      <c r="K281" s="33">
        <f t="shared" si="153"/>
        <v>20851.924316955905</v>
      </c>
      <c r="L281" s="33">
        <f t="shared" si="153"/>
        <v>27277.0518046086</v>
      </c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">
      <c r="A282" s="1"/>
      <c r="B282" s="1" t="s">
        <v>28</v>
      </c>
      <c r="C282" s="1"/>
      <c r="D282" s="1"/>
      <c r="E282" s="1"/>
      <c r="F282" s="1"/>
      <c r="G282" s="1"/>
      <c r="H282" s="20">
        <f>$F$18</f>
        <v>130</v>
      </c>
      <c r="I282" s="342">
        <f t="shared" ref="I282:L282" si="154">$F$18</f>
        <v>130</v>
      </c>
      <c r="J282" s="342">
        <f t="shared" si="154"/>
        <v>130</v>
      </c>
      <c r="K282" s="20">
        <f t="shared" si="154"/>
        <v>130</v>
      </c>
      <c r="L282" s="20">
        <f t="shared" si="154"/>
        <v>130</v>
      </c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">
      <c r="A283" s="1"/>
      <c r="B283" s="1" t="s">
        <v>31</v>
      </c>
      <c r="C283" s="1"/>
      <c r="D283" s="1"/>
      <c r="E283" s="1"/>
      <c r="F283" s="1"/>
      <c r="G283" s="1"/>
      <c r="H283" s="61">
        <f>H281*H282</f>
        <v>1210976.2525153195</v>
      </c>
      <c r="I283" s="334">
        <f t="shared" ref="I283:L283" si="155">I281*I282</f>
        <v>1584115.7617837235</v>
      </c>
      <c r="J283" s="334">
        <f t="shared" si="155"/>
        <v>2072231.1783730714</v>
      </c>
      <c r="K283" s="61">
        <f t="shared" si="155"/>
        <v>2710750.1612042678</v>
      </c>
      <c r="L283" s="61">
        <f t="shared" si="155"/>
        <v>3546016.7345991181</v>
      </c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">
      <c r="A284" s="1"/>
      <c r="B284" s="25" t="s">
        <v>227</v>
      </c>
      <c r="C284" s="1"/>
      <c r="D284" s="1"/>
      <c r="E284" s="1"/>
      <c r="F284" s="1"/>
      <c r="G284" s="1"/>
      <c r="H284" s="40">
        <f ca="1">-H211</f>
        <v>-51980.778331579844</v>
      </c>
      <c r="I284" s="338">
        <f t="shared" ref="I284:L284" ca="1" si="156">-I211</f>
        <v>-50321.247954863764</v>
      </c>
      <c r="J284" s="338">
        <f t="shared" ca="1" si="156"/>
        <v>-47126.545612190617</v>
      </c>
      <c r="K284" s="40">
        <f t="shared" ca="1" si="156"/>
        <v>-41483.104688839987</v>
      </c>
      <c r="L284" s="40">
        <f t="shared" ca="1" si="156"/>
        <v>-32865.122961465415</v>
      </c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">
      <c r="A285" s="1"/>
      <c r="B285" s="25" t="s">
        <v>228</v>
      </c>
      <c r="C285" s="1"/>
      <c r="D285" s="1"/>
      <c r="E285" s="1"/>
      <c r="F285" s="1"/>
      <c r="G285" s="1"/>
      <c r="H285" s="40">
        <f>-H218</f>
        <v>-1869.2625</v>
      </c>
      <c r="I285" s="338">
        <f t="shared" ref="I285:L285" si="157">-I218</f>
        <v>-1962.725625</v>
      </c>
      <c r="J285" s="338">
        <f t="shared" si="157"/>
        <v>-2060.8619062500002</v>
      </c>
      <c r="K285" s="40">
        <f t="shared" si="157"/>
        <v>-2163.9050015625003</v>
      </c>
      <c r="L285" s="40">
        <f t="shared" si="157"/>
        <v>-2272.1002516406252</v>
      </c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">
      <c r="A286" s="1"/>
      <c r="B286" s="25" t="s">
        <v>34</v>
      </c>
      <c r="C286" s="1"/>
      <c r="D286" s="1"/>
      <c r="E286" s="1"/>
      <c r="F286" s="1"/>
      <c r="G286" s="1"/>
      <c r="H286" s="40">
        <f ca="1">H190</f>
        <v>2000</v>
      </c>
      <c r="I286" s="338">
        <f t="shared" ref="I286:L286" ca="1" si="158">I190</f>
        <v>2000</v>
      </c>
      <c r="J286" s="338">
        <f t="shared" ca="1" si="158"/>
        <v>2000</v>
      </c>
      <c r="K286" s="40">
        <f t="shared" ca="1" si="158"/>
        <v>2000</v>
      </c>
      <c r="L286" s="40">
        <f t="shared" ca="1" si="158"/>
        <v>2000</v>
      </c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">
      <c r="A287" s="1"/>
      <c r="B287" s="1" t="s">
        <v>229</v>
      </c>
      <c r="C287" s="1"/>
      <c r="D287" s="1"/>
      <c r="E287" s="1"/>
      <c r="F287" s="1"/>
      <c r="G287" s="1"/>
      <c r="H287" s="61">
        <f ca="1">SUM(H283:H286)</f>
        <v>1159126.2116837397</v>
      </c>
      <c r="I287" s="334">
        <f t="shared" ref="I287:L287" ca="1" si="159">SUM(I283:I286)</f>
        <v>1533831.7882038597</v>
      </c>
      <c r="J287" s="334">
        <f t="shared" ca="1" si="159"/>
        <v>2025043.7708546307</v>
      </c>
      <c r="K287" s="61">
        <f t="shared" ca="1" si="159"/>
        <v>2669103.1515138652</v>
      </c>
      <c r="L287" s="61">
        <f t="shared" ca="1" si="159"/>
        <v>3512879.5113860122</v>
      </c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">
      <c r="A288" s="1"/>
      <c r="B288" s="25" t="s">
        <v>230</v>
      </c>
      <c r="C288" s="1"/>
      <c r="D288" s="1"/>
      <c r="E288" s="1"/>
      <c r="F288" s="1"/>
      <c r="G288" s="1"/>
      <c r="H288" s="40">
        <f ca="1">SUM(H298:H299)*H294</f>
        <v>108252.76648876406</v>
      </c>
      <c r="I288" s="338">
        <f t="shared" ref="I288:L288" ca="1" si="160">SUM(I298:I299)*I294</f>
        <v>108252.76648876406</v>
      </c>
      <c r="J288" s="338">
        <f t="shared" ca="1" si="160"/>
        <v>108252.76648876406</v>
      </c>
      <c r="K288" s="40">
        <f t="shared" ca="1" si="160"/>
        <v>108252.76648876406</v>
      </c>
      <c r="L288" s="40">
        <f t="shared" ca="1" si="160"/>
        <v>108252.76648876406</v>
      </c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">
      <c r="A289" s="1"/>
      <c r="B289" s="1" t="s">
        <v>231</v>
      </c>
      <c r="C289" s="1"/>
      <c r="D289" s="1"/>
      <c r="E289" s="1"/>
      <c r="F289" s="1"/>
      <c r="G289" s="1"/>
      <c r="H289" s="61">
        <f ca="1">SUM(H287:H288)</f>
        <v>1267378.9781725036</v>
      </c>
      <c r="I289" s="334">
        <f t="shared" ref="I289:L289" ca="1" si="161">SUM(I287:I288)</f>
        <v>1642084.5546926237</v>
      </c>
      <c r="J289" s="334">
        <f t="shared" ca="1" si="161"/>
        <v>2133296.5373433949</v>
      </c>
      <c r="K289" s="61">
        <f t="shared" ca="1" si="161"/>
        <v>2777355.9180026292</v>
      </c>
      <c r="L289" s="61">
        <f t="shared" ca="1" si="161"/>
        <v>3621132.2778747762</v>
      </c>
      <c r="M289" s="1"/>
      <c r="N289" s="125"/>
      <c r="O289" s="20"/>
      <c r="P289" s="20"/>
      <c r="Q289" s="20"/>
      <c r="R289" s="20"/>
      <c r="S289" s="20"/>
      <c r="T289" s="1"/>
      <c r="U289" s="1"/>
    </row>
    <row r="290" spans="1:21" x14ac:dyDescent="0.2">
      <c r="A290" s="1"/>
      <c r="B290" s="1" t="s">
        <v>232</v>
      </c>
      <c r="C290" s="1"/>
      <c r="D290" s="1"/>
      <c r="E290" s="1"/>
      <c r="F290" s="1"/>
      <c r="G290" s="1"/>
      <c r="H290" s="362">
        <f ca="1">H289/H300</f>
        <v>1.2878348713004526</v>
      </c>
      <c r="I290" s="363">
        <f t="shared" ref="I290:L290" ca="1" si="162">I289/I300</f>
        <v>1.6685883130288111</v>
      </c>
      <c r="J290" s="363">
        <f t="shared" ca="1" si="162"/>
        <v>2.1677286107245113</v>
      </c>
      <c r="K290" s="362">
        <f t="shared" ca="1" si="162"/>
        <v>2.8221833112412802</v>
      </c>
      <c r="L290" s="362">
        <f t="shared" ca="1" si="162"/>
        <v>3.6795784854844236</v>
      </c>
      <c r="M290" s="1"/>
      <c r="N290" s="125"/>
      <c r="O290" s="93"/>
      <c r="P290" s="93"/>
      <c r="Q290" s="93"/>
      <c r="R290" s="93"/>
      <c r="S290" s="93"/>
      <c r="T290" s="1"/>
      <c r="U290" s="1"/>
    </row>
    <row r="291" spans="1:21" x14ac:dyDescent="0.2">
      <c r="A291" s="1"/>
      <c r="B291" s="1"/>
      <c r="C291" s="23"/>
      <c r="D291" s="23"/>
      <c r="E291" s="23"/>
      <c r="F291" s="23"/>
      <c r="G291" s="23"/>
      <c r="H291" s="1"/>
      <c r="I291" s="339"/>
      <c r="J291" s="33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">
      <c r="A292" s="1"/>
      <c r="B292" s="1"/>
      <c r="C292" s="1"/>
      <c r="D292" s="1"/>
      <c r="E292" s="1"/>
      <c r="F292" s="1"/>
      <c r="G292" s="1"/>
      <c r="H292" s="1"/>
      <c r="I292" s="339"/>
      <c r="J292" s="33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">
      <c r="A293" s="1"/>
      <c r="B293" s="43" t="s">
        <v>233</v>
      </c>
      <c r="C293" s="1"/>
      <c r="D293" s="1"/>
      <c r="E293" s="1"/>
      <c r="F293" s="1"/>
      <c r="G293" s="1"/>
      <c r="H293" s="1"/>
      <c r="I293" s="339"/>
      <c r="J293" s="33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">
      <c r="A294" s="1"/>
      <c r="B294" s="135" t="s">
        <v>234</v>
      </c>
      <c r="C294" s="136">
        <v>1</v>
      </c>
      <c r="D294" s="137" t="s">
        <v>235</v>
      </c>
      <c r="E294" s="138"/>
      <c r="F294" s="137" t="s">
        <v>236</v>
      </c>
      <c r="G294" s="138"/>
      <c r="H294" s="134">
        <f>$C$294</f>
        <v>1</v>
      </c>
      <c r="I294" s="134">
        <f t="shared" ref="I294:L294" si="163">$C$294</f>
        <v>1</v>
      </c>
      <c r="J294" s="134">
        <f t="shared" si="163"/>
        <v>1</v>
      </c>
      <c r="K294" s="134">
        <f t="shared" si="163"/>
        <v>1</v>
      </c>
      <c r="L294" s="134">
        <f t="shared" si="163"/>
        <v>1</v>
      </c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">
      <c r="A295" s="1"/>
      <c r="B295" s="1"/>
      <c r="C295" s="1"/>
      <c r="D295" s="139" t="s">
        <v>7</v>
      </c>
      <c r="E295" s="139" t="s">
        <v>64</v>
      </c>
      <c r="F295" s="139" t="s">
        <v>7</v>
      </c>
      <c r="G295" s="139" t="s">
        <v>64</v>
      </c>
      <c r="H295" s="1"/>
      <c r="I295" s="339"/>
      <c r="J295" s="339"/>
      <c r="K295" s="1"/>
      <c r="L295" s="1"/>
      <c r="M295" s="1"/>
      <c r="N295" s="1"/>
      <c r="O295" s="1"/>
      <c r="P295" s="370"/>
      <c r="Q295" s="370"/>
      <c r="R295" s="370"/>
      <c r="S295" s="370"/>
      <c r="T295" s="370"/>
      <c r="U295" s="1"/>
    </row>
    <row r="296" spans="1:21" x14ac:dyDescent="0.2">
      <c r="A296" s="1"/>
      <c r="B296" s="1" t="s">
        <v>72</v>
      </c>
      <c r="C296" s="1"/>
      <c r="D296" s="140">
        <f>K48/C294</f>
        <v>870863.29249999998</v>
      </c>
      <c r="E296" s="141">
        <f>D296/$D$300</f>
        <v>0.99429134655737383</v>
      </c>
      <c r="F296" s="13">
        <f>D296</f>
        <v>870863.29249999998</v>
      </c>
      <c r="G296" s="141">
        <f>F296/F300</f>
        <v>0.88491929843606265</v>
      </c>
      <c r="H296" s="13">
        <f>$F$296</f>
        <v>870863.29249999998</v>
      </c>
      <c r="I296" s="13">
        <f t="shared" ref="I296:L296" si="164">$F$296</f>
        <v>870863.29249999998</v>
      </c>
      <c r="J296" s="13">
        <f t="shared" si="164"/>
        <v>870863.29249999998</v>
      </c>
      <c r="K296" s="13">
        <f t="shared" si="164"/>
        <v>870863.29249999998</v>
      </c>
      <c r="L296" s="13">
        <f t="shared" si="164"/>
        <v>870863.29249999998</v>
      </c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">
      <c r="A297" s="1"/>
      <c r="B297" s="1" t="s">
        <v>35</v>
      </c>
      <c r="C297" s="1"/>
      <c r="D297" s="142">
        <f>K47/C294</f>
        <v>5000</v>
      </c>
      <c r="E297" s="94">
        <f t="shared" ref="E297:E299" si="165">D297/$D$300</f>
        <v>5.7086534426261503E-3</v>
      </c>
      <c r="F297" s="13">
        <f>D297</f>
        <v>5000</v>
      </c>
      <c r="G297" s="94">
        <f>F297/F300</f>
        <v>5.0807015639372736E-3</v>
      </c>
      <c r="H297" s="13">
        <f>$F$297</f>
        <v>5000</v>
      </c>
      <c r="I297" s="13">
        <f t="shared" ref="I297:L297" si="166">$F$297</f>
        <v>5000</v>
      </c>
      <c r="J297" s="13">
        <f t="shared" si="166"/>
        <v>5000</v>
      </c>
      <c r="K297" s="13">
        <f t="shared" si="166"/>
        <v>5000</v>
      </c>
      <c r="L297" s="13">
        <f t="shared" si="166"/>
        <v>5000</v>
      </c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">
      <c r="A298" s="1"/>
      <c r="B298" s="1" t="s">
        <v>237</v>
      </c>
      <c r="C298" s="1"/>
      <c r="D298" s="143">
        <v>0</v>
      </c>
      <c r="E298" s="94">
        <f t="shared" si="165"/>
        <v>0</v>
      </c>
      <c r="F298" s="13">
        <f>$D$300/(1-SUM($G$298:$G$299))*G298</f>
        <v>98411.605898876413</v>
      </c>
      <c r="G298" s="127">
        <v>0.1</v>
      </c>
      <c r="H298" s="364">
        <f ca="1">IF($F$11=1,IF(H$290&gt;H$294,$F298,0),0)</f>
        <v>98411.605898876413</v>
      </c>
      <c r="I298" s="364">
        <f t="shared" ref="I298:L299" ca="1" si="167">IF($F$11=1,IF(I$290&gt;I$294,$F298,0),0)</f>
        <v>98411.605898876413</v>
      </c>
      <c r="J298" s="364">
        <f t="shared" ca="1" si="167"/>
        <v>98411.605898876413</v>
      </c>
      <c r="K298" s="364">
        <f t="shared" ca="1" si="167"/>
        <v>98411.605898876413</v>
      </c>
      <c r="L298" s="364">
        <f t="shared" ca="1" si="167"/>
        <v>98411.605898876413</v>
      </c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">
      <c r="A299" s="1"/>
      <c r="B299" s="1" t="s">
        <v>238</v>
      </c>
      <c r="C299" s="1"/>
      <c r="D299" s="143">
        <v>0</v>
      </c>
      <c r="E299" s="360">
        <f t="shared" si="165"/>
        <v>0</v>
      </c>
      <c r="F299" s="13">
        <f>$D$300/(1-SUM($G$298:$G$299))*G299</f>
        <v>9841.1605898876405</v>
      </c>
      <c r="G299" s="127">
        <v>0.01</v>
      </c>
      <c r="H299" s="364">
        <f ca="1">IF($F$11=1,IF(H$290&gt;H$294,$F299,0),0)</f>
        <v>9841.1605898876405</v>
      </c>
      <c r="I299" s="364">
        <f t="shared" ca="1" si="167"/>
        <v>9841.1605898876405</v>
      </c>
      <c r="J299" s="364">
        <f t="shared" ca="1" si="167"/>
        <v>9841.1605898876405</v>
      </c>
      <c r="K299" s="364">
        <f t="shared" ca="1" si="167"/>
        <v>9841.1605898876405</v>
      </c>
      <c r="L299" s="364">
        <f t="shared" ca="1" si="167"/>
        <v>9841.1605898876405</v>
      </c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">
      <c r="A300" s="1"/>
      <c r="B300" s="1" t="s">
        <v>7</v>
      </c>
      <c r="C300" s="1"/>
      <c r="D300" s="140">
        <f>SUM(D296:D299)</f>
        <v>875863.29249999998</v>
      </c>
      <c r="E300" s="141">
        <f>SUM(E296:E299)</f>
        <v>1</v>
      </c>
      <c r="F300" s="140">
        <f>SUM(F296:F299)</f>
        <v>984116.05898876407</v>
      </c>
      <c r="G300" s="361">
        <f>SUM(G296:G299)</f>
        <v>0.99999999999999989</v>
      </c>
      <c r="H300" s="17">
        <f ca="1">SUM(H296:H299)</f>
        <v>984116.05898876407</v>
      </c>
      <c r="I300" s="17">
        <f t="shared" ref="I300:L300" ca="1" si="168">SUM(I296:I299)</f>
        <v>984116.05898876407</v>
      </c>
      <c r="J300" s="17">
        <f t="shared" ca="1" si="168"/>
        <v>984116.05898876407</v>
      </c>
      <c r="K300" s="17">
        <f t="shared" ca="1" si="168"/>
        <v>984116.05898876407</v>
      </c>
      <c r="L300" s="17">
        <f t="shared" ca="1" si="168"/>
        <v>984116.05898876407</v>
      </c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">
      <c r="A301" s="1"/>
      <c r="B301" s="1"/>
      <c r="C301" s="1"/>
      <c r="D301" s="1"/>
      <c r="E301" s="1"/>
      <c r="F301" s="1"/>
      <c r="G301" s="1"/>
      <c r="H301" s="1"/>
      <c r="I301" s="339"/>
      <c r="J301" s="33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">
      <c r="A302" s="1"/>
      <c r="B302" s="1"/>
      <c r="C302" s="1"/>
      <c r="D302" s="1"/>
      <c r="E302" s="1"/>
      <c r="F302" s="1"/>
      <c r="G302" s="1"/>
      <c r="H302" s="1"/>
      <c r="I302" s="339"/>
      <c r="J302" s="33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">
      <c r="A303" s="1"/>
      <c r="B303" s="43" t="s">
        <v>239</v>
      </c>
      <c r="C303" s="1"/>
      <c r="D303" s="1"/>
      <c r="E303" s="1"/>
      <c r="F303" s="1"/>
      <c r="G303" s="1"/>
      <c r="H303" s="1"/>
      <c r="I303" s="339"/>
      <c r="J303" s="33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">
      <c r="A304" s="1"/>
      <c r="B304" s="1" t="s">
        <v>72</v>
      </c>
      <c r="C304" s="1"/>
      <c r="D304" s="1"/>
      <c r="E304" s="1"/>
      <c r="F304" s="1"/>
      <c r="G304" s="1"/>
      <c r="H304" s="33">
        <f ca="1">H296*H$290</f>
        <v>1121528.1162170258</v>
      </c>
      <c r="I304" s="343">
        <f t="shared" ref="I304:L304" ca="1" si="169">I296*I$290</f>
        <v>1453112.3121112911</v>
      </c>
      <c r="J304" s="343">
        <f t="shared" ca="1" si="169"/>
        <v>1887795.2751819987</v>
      </c>
      <c r="K304" s="33">
        <f t="shared" ca="1" si="169"/>
        <v>2457735.8504661336</v>
      </c>
      <c r="L304" s="33">
        <f t="shared" ca="1" si="169"/>
        <v>3204409.8348811283</v>
      </c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">
      <c r="A305" s="1"/>
      <c r="B305" s="1" t="s">
        <v>35</v>
      </c>
      <c r="C305" s="1"/>
      <c r="D305" s="1"/>
      <c r="E305" s="1"/>
      <c r="F305" s="1"/>
      <c r="G305" s="1"/>
      <c r="H305" s="33">
        <f t="shared" ref="H305:L305" ca="1" si="170">H297*H$290</f>
        <v>6439.1743565022634</v>
      </c>
      <c r="I305" s="343">
        <f t="shared" ca="1" si="170"/>
        <v>8342.9415651440559</v>
      </c>
      <c r="J305" s="343">
        <f t="shared" ca="1" si="170"/>
        <v>10838.643053622556</v>
      </c>
      <c r="K305" s="33">
        <f t="shared" ca="1" si="170"/>
        <v>14110.916556206401</v>
      </c>
      <c r="L305" s="33">
        <f t="shared" ca="1" si="170"/>
        <v>18397.892427422117</v>
      </c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">
      <c r="A306" s="1"/>
      <c r="B306" s="1" t="s">
        <v>237</v>
      </c>
      <c r="C306" s="1"/>
      <c r="D306" s="1"/>
      <c r="E306" s="1"/>
      <c r="F306" s="1"/>
      <c r="G306" s="1"/>
      <c r="H306" s="33">
        <f ca="1">H298*H$290-H298*H$294</f>
        <v>28326.291918373958</v>
      </c>
      <c r="I306" s="343">
        <f t="shared" ref="I306:L307" ca="1" si="171">I298*I$290-I298*I$294</f>
        <v>65796.849570385966</v>
      </c>
      <c r="J306" s="343">
        <f t="shared" ca="1" si="171"/>
        <v>114918.04783546308</v>
      </c>
      <c r="K306" s="33">
        <f t="shared" ca="1" si="171"/>
        <v>179323.98590138651</v>
      </c>
      <c r="L306" s="33">
        <f t="shared" ca="1" si="171"/>
        <v>263701.62188860122</v>
      </c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">
      <c r="A307" s="1"/>
      <c r="B307" s="1" t="s">
        <v>238</v>
      </c>
      <c r="C307" s="1"/>
      <c r="D307" s="1"/>
      <c r="E307" s="1"/>
      <c r="F307" s="1"/>
      <c r="G307" s="1"/>
      <c r="H307" s="33">
        <f ca="1">H299*H$290-H299*H$294</f>
        <v>2832.6291918373954</v>
      </c>
      <c r="I307" s="343">
        <f t="shared" ca="1" si="171"/>
        <v>6579.6849570385966</v>
      </c>
      <c r="J307" s="343">
        <f t="shared" ca="1" si="171"/>
        <v>11491.804783546308</v>
      </c>
      <c r="K307" s="33">
        <f t="shared" ca="1" si="171"/>
        <v>17932.398590138651</v>
      </c>
      <c r="L307" s="33">
        <f t="shared" ca="1" si="171"/>
        <v>26370.162188860118</v>
      </c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">
      <c r="A308" s="1"/>
      <c r="B308" s="1" t="s">
        <v>36</v>
      </c>
      <c r="C308" s="1"/>
      <c r="D308" s="1"/>
      <c r="E308" s="1"/>
      <c r="F308" s="1"/>
      <c r="G308" s="1"/>
      <c r="H308" s="61">
        <f ca="1">SUM(H304:H307)</f>
        <v>1159126.2116837394</v>
      </c>
      <c r="I308" s="334">
        <f t="shared" ref="I308:L308" ca="1" si="172">SUM(I304:I307)</f>
        <v>1533831.7882038597</v>
      </c>
      <c r="J308" s="334">
        <f t="shared" ca="1" si="172"/>
        <v>2025043.7708546305</v>
      </c>
      <c r="K308" s="61">
        <f t="shared" ca="1" si="172"/>
        <v>2669103.1515138652</v>
      </c>
      <c r="L308" s="61">
        <f t="shared" ca="1" si="172"/>
        <v>3512879.5113860117</v>
      </c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">
      <c r="A309" s="1"/>
      <c r="B309" s="1"/>
      <c r="C309" s="1"/>
      <c r="D309" s="1"/>
      <c r="E309" s="1"/>
      <c r="F309" s="1"/>
      <c r="G309" s="1"/>
      <c r="H309" s="1"/>
      <c r="I309" s="339"/>
      <c r="J309" s="339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">
      <c r="A310" s="1"/>
      <c r="B310" s="1"/>
      <c r="C310" s="1"/>
      <c r="D310" s="1"/>
      <c r="E310" s="1"/>
      <c r="F310" s="1"/>
      <c r="G310" s="1"/>
      <c r="H310" s="1"/>
      <c r="I310" s="339"/>
      <c r="J310" s="339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">
      <c r="A311" s="1"/>
      <c r="B311" s="43"/>
      <c r="C311" s="1"/>
      <c r="D311" s="1"/>
      <c r="E311" s="9"/>
      <c r="F311" s="1"/>
      <c r="G311" s="51">
        <f>YEAR(G10)</f>
        <v>2022</v>
      </c>
      <c r="H311" s="52">
        <f>G311+1</f>
        <v>2023</v>
      </c>
      <c r="I311" s="329">
        <f t="shared" ref="I311:L311" si="173">H311+1</f>
        <v>2024</v>
      </c>
      <c r="J311" s="329">
        <f t="shared" si="173"/>
        <v>2025</v>
      </c>
      <c r="K311" s="52">
        <f t="shared" si="173"/>
        <v>2026</v>
      </c>
      <c r="L311" s="52">
        <f t="shared" si="173"/>
        <v>2027</v>
      </c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">
      <c r="A312" s="1"/>
      <c r="B312" s="135" t="s">
        <v>240</v>
      </c>
      <c r="C312" s="1"/>
      <c r="D312" s="1"/>
      <c r="E312" s="9" t="s">
        <v>241</v>
      </c>
      <c r="F312" s="125"/>
      <c r="G312" s="62">
        <f>-H296</f>
        <v>-870863.29249999998</v>
      </c>
      <c r="H312" s="70">
        <v>0</v>
      </c>
      <c r="I312" s="70">
        <v>0</v>
      </c>
      <c r="J312" s="70">
        <v>0</v>
      </c>
      <c r="K312" s="70">
        <v>0</v>
      </c>
      <c r="L312" s="70">
        <v>0</v>
      </c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">
      <c r="A313" s="1"/>
      <c r="B313" s="1" t="s">
        <v>242</v>
      </c>
      <c r="C313" s="1"/>
      <c r="D313" s="1"/>
      <c r="E313" s="123">
        <v>2027</v>
      </c>
      <c r="F313" s="1"/>
      <c r="G313" s="60"/>
      <c r="H313" s="40">
        <f>IF(H311=$E$313,H304,0)</f>
        <v>0</v>
      </c>
      <c r="I313" s="40">
        <f t="shared" ref="I313:L313" si="174">IF(I311=$E$313,I304,0)</f>
        <v>0</v>
      </c>
      <c r="J313" s="40">
        <f t="shared" si="174"/>
        <v>0</v>
      </c>
      <c r="K313" s="40">
        <f t="shared" si="174"/>
        <v>0</v>
      </c>
      <c r="L313" s="40">
        <f t="shared" ca="1" si="174"/>
        <v>3204409.8348811283</v>
      </c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">
      <c r="A314" s="1"/>
      <c r="B314" s="1" t="s">
        <v>243</v>
      </c>
      <c r="C314" s="1"/>
      <c r="D314" s="1"/>
      <c r="E314" s="9"/>
      <c r="F314" s="1"/>
      <c r="G314" s="62">
        <f>SUM(G312:G313)</f>
        <v>-870863.29249999998</v>
      </c>
      <c r="H314" s="365">
        <f t="shared" ref="H314:L314" si="175">SUM(H312:H313)</f>
        <v>0</v>
      </c>
      <c r="I314" s="61">
        <f t="shared" si="175"/>
        <v>0</v>
      </c>
      <c r="J314" s="61">
        <f t="shared" si="175"/>
        <v>0</v>
      </c>
      <c r="K314" s="61">
        <f t="shared" si="175"/>
        <v>0</v>
      </c>
      <c r="L314" s="61">
        <f t="shared" ca="1" si="175"/>
        <v>3204409.8348811283</v>
      </c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">
      <c r="A315" s="1"/>
      <c r="B315" s="1"/>
      <c r="C315" s="1"/>
      <c r="D315" s="1"/>
      <c r="E315" s="9"/>
      <c r="F315" s="1"/>
      <c r="G315" s="50"/>
      <c r="H315" s="144"/>
      <c r="I315" s="350"/>
      <c r="J315" s="350"/>
      <c r="K315" s="144"/>
      <c r="L315" s="144"/>
      <c r="M315" s="1"/>
      <c r="N315" s="1"/>
      <c r="O315" s="1"/>
      <c r="P315" s="1" t="s">
        <v>244</v>
      </c>
      <c r="Q315" s="1"/>
      <c r="R315" s="1"/>
      <c r="S315" s="1"/>
      <c r="T315" s="1"/>
      <c r="U315" s="1"/>
    </row>
    <row r="316" spans="1:21" x14ac:dyDescent="0.2">
      <c r="A316" s="1"/>
      <c r="B316" s="145" t="s">
        <v>245</v>
      </c>
      <c r="C316" s="133"/>
      <c r="D316" s="368">
        <f ca="1">IRR(G314:L314,)</f>
        <v>0.29765610469736759</v>
      </c>
      <c r="F316" s="1"/>
      <c r="G316" s="1"/>
      <c r="H316" s="1"/>
      <c r="I316" s="339"/>
      <c r="J316" s="339"/>
      <c r="K316" s="1"/>
      <c r="L316" s="1"/>
      <c r="M316" s="1"/>
      <c r="N316" s="1"/>
      <c r="O316" s="1" t="s">
        <v>246</v>
      </c>
      <c r="P316" s="372">
        <f ca="1">H290/$C$294</f>
        <v>1.2878348713004526</v>
      </c>
      <c r="Q316" s="372">
        <f t="shared" ref="Q316:T316" ca="1" si="176">I290/$C$294</f>
        <v>1.6685883130288111</v>
      </c>
      <c r="R316" s="372">
        <f t="shared" ca="1" si="176"/>
        <v>2.1677286107245113</v>
      </c>
      <c r="S316" s="372">
        <f t="shared" ca="1" si="176"/>
        <v>2.8221833112412802</v>
      </c>
      <c r="T316" s="372">
        <f t="shared" ca="1" si="176"/>
        <v>3.6795784854844236</v>
      </c>
      <c r="U316" s="1"/>
    </row>
    <row r="317" spans="1:21" x14ac:dyDescent="0.2">
      <c r="A317" s="1"/>
      <c r="B317" s="146" t="s">
        <v>247</v>
      </c>
      <c r="C317" s="147"/>
      <c r="D317" s="369">
        <f ca="1">SUM(H314:L314)/-G314</f>
        <v>3.6795784854844231</v>
      </c>
      <c r="E317" s="1"/>
      <c r="F317" s="1"/>
      <c r="G317" s="1"/>
      <c r="H317" s="1"/>
      <c r="I317" s="339"/>
      <c r="J317" s="339"/>
      <c r="K317" s="1"/>
      <c r="L317" s="1"/>
      <c r="M317" s="1"/>
      <c r="N317" s="1"/>
      <c r="O317" s="1" t="s">
        <v>248</v>
      </c>
      <c r="P317" s="371">
        <f ca="1">P316^(1/(H311-$G$311))-1</f>
        <v>0.2878348713004526</v>
      </c>
      <c r="Q317" s="371">
        <f t="shared" ref="Q317:T317" ca="1" si="177">Q316^(1/(I311-$G$311))-1</f>
        <v>0.29173848476725772</v>
      </c>
      <c r="R317" s="371">
        <f t="shared" ca="1" si="177"/>
        <v>0.2942007183949098</v>
      </c>
      <c r="S317" s="371">
        <f t="shared" ca="1" si="177"/>
        <v>0.29612326113689513</v>
      </c>
      <c r="T317" s="371">
        <f t="shared" ca="1" si="177"/>
        <v>0.29765610469736759</v>
      </c>
      <c r="U317" s="1"/>
    </row>
    <row r="318" spans="1:2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 t="s">
        <v>249</v>
      </c>
      <c r="P318" s="144">
        <f>H311</f>
        <v>2023</v>
      </c>
      <c r="Q318" s="144">
        <f t="shared" ref="Q318:T318" si="178">I311</f>
        <v>2024</v>
      </c>
      <c r="R318" s="144">
        <f t="shared" si="178"/>
        <v>2025</v>
      </c>
      <c r="S318" s="144">
        <f t="shared" si="178"/>
        <v>2026</v>
      </c>
      <c r="T318" s="144">
        <f t="shared" si="178"/>
        <v>2027</v>
      </c>
      <c r="U318" s="1"/>
    </row>
    <row r="319" spans="1:2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">
      <c r="A320" s="2" t="s">
        <v>0</v>
      </c>
      <c r="B320" s="7" t="s">
        <v>250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">
      <c r="A322" s="1"/>
      <c r="B322" s="1"/>
      <c r="C322" s="1"/>
      <c r="D322" s="1"/>
      <c r="E322" s="1"/>
      <c r="F322" s="148" t="s">
        <v>251</v>
      </c>
      <c r="G322" s="149"/>
      <c r="H322" s="149"/>
      <c r="I322" s="149"/>
      <c r="J322" s="149"/>
      <c r="K322" s="149"/>
      <c r="L322" s="149"/>
      <c r="M322" s="1"/>
      <c r="N322" s="1"/>
      <c r="O322" s="150">
        <f t="shared" ref="O322:U322" si="179">F327</f>
        <v>130</v>
      </c>
      <c r="P322" s="150">
        <f t="shared" si="179"/>
        <v>132</v>
      </c>
      <c r="Q322" s="150">
        <f t="shared" si="179"/>
        <v>134</v>
      </c>
      <c r="R322" s="150">
        <f t="shared" si="179"/>
        <v>136</v>
      </c>
      <c r="S322" s="150">
        <f t="shared" si="179"/>
        <v>138</v>
      </c>
      <c r="T322" s="150">
        <f t="shared" si="179"/>
        <v>140</v>
      </c>
      <c r="U322" s="150">
        <f t="shared" si="179"/>
        <v>142</v>
      </c>
    </row>
    <row r="323" spans="1:21" x14ac:dyDescent="0.2">
      <c r="A323" s="1"/>
      <c r="B323" s="1"/>
      <c r="C323" s="1"/>
      <c r="D323" s="1"/>
      <c r="E323" s="1"/>
      <c r="F323" s="151">
        <f t="shared" ref="F323:L323" si="180">O323</f>
        <v>366.73952931790984</v>
      </c>
      <c r="G323" s="151">
        <f t="shared" si="180"/>
        <v>372.42042281611486</v>
      </c>
      <c r="H323" s="151">
        <f t="shared" si="180"/>
        <v>378.10131631431989</v>
      </c>
      <c r="I323" s="151">
        <f t="shared" si="180"/>
        <v>383.78220981252491</v>
      </c>
      <c r="J323" s="151">
        <f t="shared" si="180"/>
        <v>389.46310331072993</v>
      </c>
      <c r="K323" s="151">
        <f t="shared" si="180"/>
        <v>395.14399680893496</v>
      </c>
      <c r="L323" s="151">
        <f t="shared" si="180"/>
        <v>400.82489030713998</v>
      </c>
      <c r="M323" s="1"/>
      <c r="N323" s="134">
        <f>L24</f>
        <v>366.73952931790984</v>
      </c>
      <c r="O323" s="151">
        <f t="dataTable" ref="O323:U323" dt2D="0" dtr="1" r1="F17"/>
        <v>366.73952931790984</v>
      </c>
      <c r="P323" s="151">
        <v>372.42042281611486</v>
      </c>
      <c r="Q323" s="151">
        <v>378.10131631431989</v>
      </c>
      <c r="R323" s="151">
        <v>383.78220981252491</v>
      </c>
      <c r="S323" s="151">
        <v>389.46310331072993</v>
      </c>
      <c r="T323" s="151">
        <v>395.14399680893496</v>
      </c>
      <c r="U323" s="151">
        <v>400.82489030713998</v>
      </c>
    </row>
    <row r="324" spans="1:21" x14ac:dyDescent="0.2">
      <c r="A324" s="1"/>
      <c r="B324" s="1"/>
      <c r="C324" s="1"/>
      <c r="D324" s="1"/>
      <c r="E324" s="1"/>
      <c r="F324" s="148" t="s">
        <v>252</v>
      </c>
      <c r="G324" s="149"/>
      <c r="H324" s="149"/>
      <c r="I324" s="149"/>
      <c r="J324" s="149"/>
      <c r="K324" s="149"/>
      <c r="L324" s="149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">
      <c r="A325" s="1"/>
      <c r="B325" s="1"/>
      <c r="C325" s="1"/>
      <c r="D325" s="1"/>
      <c r="E325" s="1"/>
      <c r="F325" s="152">
        <f>F323/$N$323-1</f>
        <v>0</v>
      </c>
      <c r="G325" s="152">
        <f t="shared" ref="G325:L325" si="181">G323/$N$323-1</f>
        <v>1.5490267735170926E-2</v>
      </c>
      <c r="H325" s="152">
        <f t="shared" si="181"/>
        <v>3.0980535470342074E-2</v>
      </c>
      <c r="I325" s="152">
        <f t="shared" si="181"/>
        <v>4.6470803205513E-2</v>
      </c>
      <c r="J325" s="152">
        <f t="shared" si="181"/>
        <v>6.1961070940684149E-2</v>
      </c>
      <c r="K325" s="152">
        <f t="shared" si="181"/>
        <v>7.7451338675855075E-2</v>
      </c>
      <c r="L325" s="152">
        <f t="shared" si="181"/>
        <v>9.2941606411026001E-2</v>
      </c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">
      <c r="A326" s="1"/>
      <c r="B326" s="1"/>
      <c r="C326" s="1"/>
      <c r="D326" s="1"/>
      <c r="E326" s="1"/>
      <c r="F326" s="148" t="s">
        <v>26</v>
      </c>
      <c r="G326" s="149"/>
      <c r="H326" s="149"/>
      <c r="I326" s="149"/>
      <c r="J326" s="149"/>
      <c r="K326" s="149"/>
      <c r="L326" s="149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">
      <c r="A327" s="1"/>
      <c r="B327" s="1"/>
      <c r="C327" s="1"/>
      <c r="D327" s="1"/>
      <c r="E327" s="153">
        <f ca="1">$D$316</f>
        <v>0.29765610469736759</v>
      </c>
      <c r="F327" s="154">
        <v>130</v>
      </c>
      <c r="G327" s="150">
        <f>F327+2</f>
        <v>132</v>
      </c>
      <c r="H327" s="150">
        <f t="shared" ref="H327:L327" si="182">G327+2</f>
        <v>134</v>
      </c>
      <c r="I327" s="150">
        <f t="shared" si="182"/>
        <v>136</v>
      </c>
      <c r="J327" s="150">
        <f t="shared" si="182"/>
        <v>138</v>
      </c>
      <c r="K327" s="150">
        <f t="shared" si="182"/>
        <v>140</v>
      </c>
      <c r="L327" s="150">
        <f t="shared" si="182"/>
        <v>142</v>
      </c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">
      <c r="A328" s="1"/>
      <c r="B328" s="1"/>
      <c r="C328" s="1"/>
      <c r="D328" s="380" t="s">
        <v>253</v>
      </c>
      <c r="E328" s="155">
        <v>5</v>
      </c>
      <c r="F328" s="156">
        <f t="dataTable" ref="F328:L335" dt2D="1" dtr="1" r1="F17" r2="F19" ca="1"/>
        <v>0.29465293667904358</v>
      </c>
      <c r="G328" s="156">
        <v>0.29452100170091633</v>
      </c>
      <c r="H328" s="156">
        <v>0.29439309327974184</v>
      </c>
      <c r="I328" s="156">
        <v>0.29426902984151426</v>
      </c>
      <c r="J328" s="156">
        <v>0.29414864056759904</v>
      </c>
      <c r="K328" s="156">
        <v>0.29403176461091385</v>
      </c>
      <c r="L328" s="156">
        <v>0.29391825037873032</v>
      </c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">
      <c r="A329" s="1"/>
      <c r="B329" s="1"/>
      <c r="C329" s="1"/>
      <c r="D329" s="380"/>
      <c r="E329" s="157">
        <f>E328+0.5</f>
        <v>5.5</v>
      </c>
      <c r="F329" s="156">
        <v>0.29527913094763836</v>
      </c>
      <c r="G329" s="156">
        <v>0.29513709189941228</v>
      </c>
      <c r="H329" s="156">
        <v>0.29499939992470647</v>
      </c>
      <c r="I329" s="156">
        <v>0.2948658584529098</v>
      </c>
      <c r="J329" s="156">
        <v>0.29473628258882067</v>
      </c>
      <c r="K329" s="156">
        <v>0.2946104982596669</v>
      </c>
      <c r="L329" s="156">
        <v>0.29448834143462954</v>
      </c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">
      <c r="A330" s="1"/>
      <c r="B330" s="1"/>
      <c r="C330" s="1"/>
      <c r="D330" s="380"/>
      <c r="E330" s="157">
        <f t="shared" ref="E330:E335" si="183">E329+0.5</f>
        <v>6</v>
      </c>
      <c r="F330" s="156">
        <v>0.29590893287086173</v>
      </c>
      <c r="G330" s="156">
        <v>0.29575667583545662</v>
      </c>
      <c r="H330" s="156">
        <v>0.2956090917007026</v>
      </c>
      <c r="I330" s="156">
        <v>0.29546596857409368</v>
      </c>
      <c r="J330" s="156">
        <v>0.29532710718342581</v>
      </c>
      <c r="K330" s="156">
        <v>0.29519231995209472</v>
      </c>
      <c r="L330" s="156">
        <v>0.2950614301533816</v>
      </c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">
      <c r="A331" s="1"/>
      <c r="B331" s="1"/>
      <c r="C331" s="1"/>
      <c r="D331" s="380"/>
      <c r="E331" s="157">
        <f t="shared" si="183"/>
        <v>6.5</v>
      </c>
      <c r="F331" s="156">
        <v>0.29651523355569576</v>
      </c>
      <c r="G331" s="156">
        <v>0.29635305415224433</v>
      </c>
      <c r="H331" s="156">
        <v>0.29619586662393704</v>
      </c>
      <c r="I331" s="156">
        <v>0.29604344396314008</v>
      </c>
      <c r="J331" s="156">
        <v>0.29589557272239531</v>
      </c>
      <c r="K331" s="156">
        <v>0.2957520520168726</v>
      </c>
      <c r="L331" s="156">
        <v>0.29561269261344658</v>
      </c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">
      <c r="A332" s="1"/>
      <c r="B332" s="1"/>
      <c r="C332" s="1"/>
      <c r="D332" s="380"/>
      <c r="E332" s="157">
        <f t="shared" si="183"/>
        <v>7</v>
      </c>
      <c r="F332" s="156">
        <v>0.29712312781932382</v>
      </c>
      <c r="G332" s="156">
        <v>0.29695094185332516</v>
      </c>
      <c r="H332" s="156">
        <v>0.29678407122088424</v>
      </c>
      <c r="I332" s="156">
        <v>0.2966222735073516</v>
      </c>
      <c r="J332" s="156">
        <v>0.29646532081993615</v>
      </c>
      <c r="K332" s="156">
        <v>0.29631299871640038</v>
      </c>
      <c r="L332" s="156">
        <v>0.29616510522703265</v>
      </c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">
      <c r="A333" s="1"/>
      <c r="B333" s="1"/>
      <c r="C333" s="1"/>
      <c r="D333" s="380"/>
      <c r="E333" s="157">
        <f t="shared" si="183"/>
        <v>7.5</v>
      </c>
      <c r="F333" s="156">
        <v>0.29765610469729631</v>
      </c>
      <c r="G333" s="156">
        <v>0.29747500545497285</v>
      </c>
      <c r="H333" s="156">
        <v>0.29729951381421915</v>
      </c>
      <c r="I333" s="156">
        <v>0.29712937325644351</v>
      </c>
      <c r="J333" s="156">
        <v>0.2969643426759927</v>
      </c>
      <c r="K333" s="156">
        <v>0.29680419523958168</v>
      </c>
      <c r="L333" s="156">
        <v>0.29664871734548437</v>
      </c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">
      <c r="A334" s="1"/>
      <c r="B334" s="1"/>
      <c r="C334" s="1"/>
      <c r="D334" s="380"/>
      <c r="E334" s="157">
        <f t="shared" si="183"/>
        <v>8</v>
      </c>
      <c r="F334" s="156">
        <v>0.2981545706840929</v>
      </c>
      <c r="G334" s="156">
        <v>0.29796503225990634</v>
      </c>
      <c r="H334" s="156">
        <v>0.29778138122692654</v>
      </c>
      <c r="I334" s="156">
        <v>0.29760334742936467</v>
      </c>
      <c r="J334" s="156">
        <v>0.2974306769937094</v>
      </c>
      <c r="K334" s="156">
        <v>0.29726313112016989</v>
      </c>
      <c r="L334" s="156">
        <v>0.29710048498013375</v>
      </c>
      <c r="M334" s="6"/>
      <c r="N334" s="1"/>
      <c r="O334" s="1"/>
      <c r="P334" s="1"/>
      <c r="Q334" s="1"/>
      <c r="R334" s="1"/>
      <c r="S334" s="1"/>
      <c r="T334" s="1"/>
      <c r="U334" s="1"/>
    </row>
    <row r="335" spans="1:21" x14ac:dyDescent="0.2">
      <c r="A335" s="1"/>
      <c r="B335" s="1"/>
      <c r="C335" s="1"/>
      <c r="D335" s="380"/>
      <c r="E335" s="157">
        <f t="shared" si="183"/>
        <v>8.5</v>
      </c>
      <c r="F335" s="156">
        <v>0.29865664284210691</v>
      </c>
      <c r="G335" s="156">
        <v>0.29845855413238787</v>
      </c>
      <c r="H335" s="156">
        <v>0.29826663783978025</v>
      </c>
      <c r="I335" s="156">
        <v>0.29808060984462403</v>
      </c>
      <c r="J335" s="156">
        <v>0.2979002032040452</v>
      </c>
      <c r="K335" s="156">
        <v>0.29772516687310691</v>
      </c>
      <c r="L335" s="156">
        <v>0.29755526453847825</v>
      </c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">
      <c r="A337" s="1"/>
      <c r="B337" s="1"/>
      <c r="C337" s="1"/>
      <c r="D337" s="1"/>
      <c r="E337" s="1"/>
      <c r="F337" s="6" t="s">
        <v>254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">
      <c r="A339" s="1"/>
      <c r="B339" s="1"/>
      <c r="C339" s="1"/>
      <c r="D339" s="1"/>
      <c r="E339" s="1"/>
      <c r="F339" s="148" t="s">
        <v>251</v>
      </c>
      <c r="G339" s="149"/>
      <c r="H339" s="149"/>
      <c r="I339" s="149"/>
      <c r="J339" s="149"/>
      <c r="K339" s="149"/>
      <c r="L339" s="149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">
      <c r="A340" s="1"/>
      <c r="B340" s="1"/>
      <c r="C340" s="1"/>
      <c r="D340" s="1"/>
      <c r="E340" s="1"/>
      <c r="F340" s="151">
        <f>F323</f>
        <v>366.73952931790984</v>
      </c>
      <c r="G340" s="151">
        <f t="shared" ref="G340:L340" si="184">G323</f>
        <v>372.42042281611486</v>
      </c>
      <c r="H340" s="151">
        <f t="shared" si="184"/>
        <v>378.10131631431989</v>
      </c>
      <c r="I340" s="151">
        <f t="shared" si="184"/>
        <v>383.78220981252491</v>
      </c>
      <c r="J340" s="151">
        <f t="shared" si="184"/>
        <v>389.46310331072993</v>
      </c>
      <c r="K340" s="151">
        <f t="shared" si="184"/>
        <v>395.14399680893496</v>
      </c>
      <c r="L340" s="151">
        <f t="shared" si="184"/>
        <v>400.82489030713998</v>
      </c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">
      <c r="A341" s="1"/>
      <c r="B341" s="1"/>
      <c r="C341" s="1"/>
      <c r="D341" s="1"/>
      <c r="E341" s="1"/>
      <c r="F341" s="148" t="s">
        <v>252</v>
      </c>
      <c r="G341" s="149"/>
      <c r="H341" s="149"/>
      <c r="I341" s="149"/>
      <c r="J341" s="149"/>
      <c r="K341" s="149"/>
      <c r="L341" s="149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">
      <c r="A342" s="1"/>
      <c r="B342" s="1"/>
      <c r="C342" s="1"/>
      <c r="D342" s="1"/>
      <c r="E342" s="1"/>
      <c r="F342" s="152">
        <f>F325</f>
        <v>0</v>
      </c>
      <c r="G342" s="152">
        <f t="shared" ref="G342:L342" si="185">G325</f>
        <v>1.5490267735170926E-2</v>
      </c>
      <c r="H342" s="152">
        <f t="shared" si="185"/>
        <v>3.0980535470342074E-2</v>
      </c>
      <c r="I342" s="152">
        <f t="shared" si="185"/>
        <v>4.6470803205513E-2</v>
      </c>
      <c r="J342" s="152">
        <f t="shared" si="185"/>
        <v>6.1961070940684149E-2</v>
      </c>
      <c r="K342" s="152">
        <f t="shared" si="185"/>
        <v>7.7451338675855075E-2</v>
      </c>
      <c r="L342" s="152">
        <f t="shared" si="185"/>
        <v>9.2941606411026001E-2</v>
      </c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">
      <c r="A343" s="1"/>
      <c r="B343" s="1"/>
      <c r="C343" s="1"/>
      <c r="D343" s="1"/>
      <c r="E343" s="1"/>
      <c r="F343" s="148" t="s">
        <v>26</v>
      </c>
      <c r="G343" s="149"/>
      <c r="H343" s="149"/>
      <c r="I343" s="149"/>
      <c r="J343" s="149"/>
      <c r="K343" s="149"/>
      <c r="L343" s="149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">
      <c r="A344" s="1"/>
      <c r="B344" s="1"/>
      <c r="C344" s="1"/>
      <c r="D344" s="1"/>
      <c r="E344" s="153">
        <f ca="1">$D$316</f>
        <v>0.29765610469736759</v>
      </c>
      <c r="F344" s="150">
        <f>F327</f>
        <v>130</v>
      </c>
      <c r="G344" s="150">
        <f t="shared" ref="G344:L344" si="186">G327</f>
        <v>132</v>
      </c>
      <c r="H344" s="150">
        <f t="shared" si="186"/>
        <v>134</v>
      </c>
      <c r="I344" s="150">
        <f t="shared" si="186"/>
        <v>136</v>
      </c>
      <c r="J344" s="150">
        <f t="shared" si="186"/>
        <v>138</v>
      </c>
      <c r="K344" s="150">
        <f t="shared" si="186"/>
        <v>140</v>
      </c>
      <c r="L344" s="150">
        <f t="shared" si="186"/>
        <v>142</v>
      </c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">
      <c r="A345" s="1"/>
      <c r="B345" s="1"/>
      <c r="C345" s="1"/>
      <c r="D345" s="381" t="s">
        <v>255</v>
      </c>
      <c r="E345" s="158" cm="1">
        <f t="array" ref="E345:E351">TRANSPOSE(F344:L344)</f>
        <v>130</v>
      </c>
      <c r="F345" s="156">
        <f t="dataTable" ref="F345:L351" dt2D="1" dtr="1" r1="F17" r2="F18" ca="1"/>
        <v>0.29765610469736759</v>
      </c>
      <c r="G345" s="156">
        <v>0.29360240642489366</v>
      </c>
      <c r="H345" s="156">
        <v>0.28962734906781296</v>
      </c>
      <c r="I345" s="156">
        <v>0.2857282272131425</v>
      </c>
      <c r="J345" s="156">
        <v>0.28190246854352941</v>
      </c>
      <c r="K345" s="156">
        <v>0.2781476253762738</v>
      </c>
      <c r="L345" s="156">
        <v>0.27446136685826716</v>
      </c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">
      <c r="A346" s="1"/>
      <c r="B346" s="1"/>
      <c r="C346" s="1"/>
      <c r="D346" s="380"/>
      <c r="E346" s="158">
        <v>132</v>
      </c>
      <c r="F346" s="156">
        <v>0.3015427162415063</v>
      </c>
      <c r="G346" s="156">
        <v>0.29747500545497285</v>
      </c>
      <c r="H346" s="156">
        <v>0.29348618442285579</v>
      </c>
      <c r="I346" s="156">
        <v>0.28957353928071194</v>
      </c>
      <c r="J346" s="156">
        <v>0.28573448967390025</v>
      </c>
      <c r="K346" s="156">
        <v>0.2819665802703204</v>
      </c>
      <c r="L346" s="156">
        <v>0.27826747293111453</v>
      </c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">
      <c r="A347" s="1"/>
      <c r="B347" s="1"/>
      <c r="C347" s="1"/>
      <c r="D347" s="380"/>
      <c r="E347" s="158">
        <v>134</v>
      </c>
      <c r="F347" s="156">
        <v>0.30538345062384775</v>
      </c>
      <c r="G347" s="156">
        <v>0.30130191447857269</v>
      </c>
      <c r="H347" s="156">
        <v>0.29729951381421915</v>
      </c>
      <c r="I347" s="156">
        <v>0.29337352641894299</v>
      </c>
      <c r="J347" s="156">
        <v>0.28952136399979267</v>
      </c>
      <c r="K347" s="156">
        <v>0.28574056366949452</v>
      </c>
      <c r="L347" s="156">
        <v>0.28202878009320331</v>
      </c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">
      <c r="A348" s="1"/>
      <c r="B348" s="1"/>
      <c r="C348" s="1"/>
      <c r="D348" s="380"/>
      <c r="E348" s="158">
        <v>136</v>
      </c>
      <c r="F348" s="156">
        <v>0.30917950859413823</v>
      </c>
      <c r="G348" s="156">
        <v>0.30508432878616665</v>
      </c>
      <c r="H348" s="156">
        <v>0.30106852715961208</v>
      </c>
      <c r="I348" s="156">
        <v>0.29712937325644351</v>
      </c>
      <c r="J348" s="156">
        <v>0.29326427094167706</v>
      </c>
      <c r="K348" s="156">
        <v>0.28947074986451393</v>
      </c>
      <c r="L348" s="156">
        <v>0.28574645758143524</v>
      </c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">
      <c r="A349" s="1"/>
      <c r="B349" s="1"/>
      <c r="C349" s="1"/>
      <c r="D349" s="380"/>
      <c r="E349" s="158">
        <v>138</v>
      </c>
      <c r="F349" s="156">
        <v>0.31293204271472685</v>
      </c>
      <c r="G349" s="156">
        <v>0.30882339572209405</v>
      </c>
      <c r="H349" s="156">
        <v>0.30479436666817783</v>
      </c>
      <c r="I349" s="156">
        <v>0.30084221694725444</v>
      </c>
      <c r="J349" s="156">
        <v>0.2969643426759927</v>
      </c>
      <c r="K349" s="156">
        <v>0.29315826612925422</v>
      </c>
      <c r="L349" s="156">
        <v>0.2894216278398074</v>
      </c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">
      <c r="A350" s="1"/>
      <c r="B350" s="1"/>
      <c r="C350" s="1"/>
      <c r="D350" s="380"/>
      <c r="E350" s="158">
        <v>140</v>
      </c>
      <c r="F350" s="156">
        <v>0.31664215994799472</v>
      </c>
      <c r="G350" s="156">
        <v>0.31252021725785895</v>
      </c>
      <c r="H350" s="156">
        <v>0.30847812939987751</v>
      </c>
      <c r="I350" s="156">
        <v>0.30451314971651811</v>
      </c>
      <c r="J350" s="156">
        <v>0.30062266666730597</v>
      </c>
      <c r="K350" s="156">
        <v>0.29680419523958168</v>
      </c>
      <c r="L350" s="156">
        <v>0.29305536902510965</v>
      </c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">
      <c r="A351" s="1"/>
      <c r="B351" s="1"/>
      <c r="C351" s="1"/>
      <c r="D351" s="380"/>
      <c r="E351" s="158">
        <v>142</v>
      </c>
      <c r="F351" s="156">
        <v>0.32031092407073114</v>
      </c>
      <c r="G351" s="156">
        <v>0.31617585239340085</v>
      </c>
      <c r="H351" s="156">
        <v>0.31212086965385155</v>
      </c>
      <c r="I351" s="156">
        <v>0.30814322123612148</v>
      </c>
      <c r="J351" s="156">
        <v>0.30424028803141367</v>
      </c>
      <c r="K351" s="156">
        <v>0.30040957782409827</v>
      </c>
      <c r="L351" s="156">
        <v>0.29664871734548437</v>
      </c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">
      <c r="A352" s="159" t="s">
        <v>0</v>
      </c>
      <c r="B352" s="1"/>
      <c r="C352" s="1"/>
      <c r="D352" s="1"/>
      <c r="E352" s="1"/>
      <c r="F352" s="152"/>
      <c r="G352" s="152"/>
      <c r="H352" s="152"/>
      <c r="I352" s="152"/>
      <c r="J352" s="152"/>
      <c r="K352" s="152"/>
      <c r="L352" s="152"/>
      <c r="M352" s="1"/>
      <c r="N352" s="1"/>
      <c r="O352" s="1"/>
      <c r="P352" s="1"/>
      <c r="Q352" s="1"/>
      <c r="R352" s="1"/>
      <c r="S352" s="1"/>
      <c r="T352" s="1"/>
      <c r="U352" s="1"/>
    </row>
  </sheetData>
  <mergeCells count="5">
    <mergeCell ref="O187:R187"/>
    <mergeCell ref="D328:D335"/>
    <mergeCell ref="D345:D351"/>
    <mergeCell ref="B52:L52"/>
    <mergeCell ref="B279:L279"/>
  </mergeCells>
  <conditionalFormatting sqref="D32:L36 A300:L315 A316:D316 F316:L316 A317:L317">
    <cfRule type="cellIs" dxfId="11" priority="11" operator="equal">
      <formula>0</formula>
    </cfRule>
  </conditionalFormatting>
  <conditionalFormatting sqref="E41:L48">
    <cfRule type="cellIs" dxfId="10" priority="10" operator="equal">
      <formula>0</formula>
    </cfRule>
  </conditionalFormatting>
  <conditionalFormatting sqref="E54:L70">
    <cfRule type="cellIs" dxfId="9" priority="3" operator="equal">
      <formula>0</formula>
    </cfRule>
  </conditionalFormatting>
  <conditionalFormatting sqref="E106:L109 E114 E120 E131">
    <cfRule type="cellIs" dxfId="8" priority="6" operator="equal">
      <formula>0</formula>
    </cfRule>
  </conditionalFormatting>
  <conditionalFormatting sqref="E161:L184 A281 A282:M288 A289:L297 A298:G299">
    <cfRule type="cellIs" dxfId="7" priority="5" operator="equal">
      <formula>0</formula>
    </cfRule>
  </conditionalFormatting>
  <conditionalFormatting sqref="E190:L224">
    <cfRule type="cellIs" dxfId="6" priority="1" operator="equal">
      <formula>0</formula>
    </cfRule>
  </conditionalFormatting>
  <conditionalFormatting sqref="F12">
    <cfRule type="cellIs" dxfId="5" priority="14" operator="greaterThan">
      <formula>0</formula>
    </cfRule>
  </conditionalFormatting>
  <conditionalFormatting sqref="G137:L156">
    <cfRule type="cellIs" dxfId="4" priority="12" operator="equal">
      <formula>0</formula>
    </cfRule>
  </conditionalFormatting>
  <conditionalFormatting sqref="H75:L95 G113:L132 C281:U281 N282:U317">
    <cfRule type="cellIs" dxfId="3" priority="16" operator="equal">
      <formula>0</formula>
    </cfRule>
  </conditionalFormatting>
  <conditionalFormatting sqref="H100:L103">
    <cfRule type="cellIs" dxfId="2" priority="7" operator="equal">
      <formula>0</formula>
    </cfRule>
  </conditionalFormatting>
  <conditionalFormatting sqref="H110:L110">
    <cfRule type="cellIs" dxfId="1" priority="15" operator="equal">
      <formula>1</formula>
    </cfRule>
  </conditionalFormatting>
  <conditionalFormatting sqref="H229:L276">
    <cfRule type="cellIs" dxfId="0" priority="13" operator="equal">
      <formula>0</formula>
    </cfRule>
  </conditionalFormatting>
  <dataValidations disablePrompts="1" count="1">
    <dataValidation type="list" allowBlank="1" showInputMessage="1" showErrorMessage="1" sqref="E261" xr:uid="{CD92F36C-212A-4B7F-89A3-44EFD48B48E5}">
      <formula1>"1,0"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" r:id="rId3" name="Button 103">
              <controlPr defaultSize="0" print="0" autoFill="0" autoPict="0" macro="[0]!lbo_reset_circ">
                <anchor moveWithCells="1" sizeWithCells="1">
                  <from>
                    <xdr:col>4</xdr:col>
                    <xdr:colOff>749300</xdr:colOff>
                    <xdr:row>10</xdr:row>
                    <xdr:rowOff>0</xdr:rowOff>
                  </from>
                  <to>
                    <xdr:col>6</xdr:col>
                    <xdr:colOff>0</xdr:colOff>
                    <xdr:row>10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44F1-03CF-4ECF-92BC-6AA2B50D393C}">
  <sheetPr codeName="Sheet2"/>
  <dimension ref="B2:M274"/>
  <sheetViews>
    <sheetView showGridLines="0" topLeftCell="A6" workbookViewId="0">
      <selection activeCell="H11" sqref="H11"/>
    </sheetView>
  </sheetViews>
  <sheetFormatPr baseColWidth="10" defaultColWidth="8.83203125" defaultRowHeight="15" x14ac:dyDescent="0.2"/>
  <cols>
    <col min="1" max="1" width="2.1640625" customWidth="1"/>
    <col min="2" max="2" width="50.1640625" bestFit="1" customWidth="1"/>
    <col min="3" max="3" width="13.5" customWidth="1"/>
    <col min="4" max="10" width="11.6640625" bestFit="1" customWidth="1"/>
  </cols>
  <sheetData>
    <row r="2" spans="2:12" ht="26" x14ac:dyDescent="0.3">
      <c r="B2" s="160" t="str">
        <f>"Financial Statement Model for "&amp; C5</f>
        <v>Financial Statement Model for NVIDIA</v>
      </c>
      <c r="C2" s="161"/>
      <c r="D2" s="161"/>
      <c r="E2" s="161"/>
      <c r="F2" s="161"/>
      <c r="G2" s="161"/>
      <c r="H2" s="161"/>
      <c r="I2" s="161"/>
      <c r="J2" s="161"/>
      <c r="K2" s="161"/>
      <c r="L2" s="162"/>
    </row>
    <row r="3" spans="2:12" x14ac:dyDescent="0.2">
      <c r="B3" s="163" t="s">
        <v>1</v>
      </c>
    </row>
    <row r="5" spans="2:12" x14ac:dyDescent="0.2">
      <c r="B5" s="377" t="s">
        <v>256</v>
      </c>
      <c r="C5" s="164" t="s">
        <v>257</v>
      </c>
    </row>
    <row r="6" spans="2:12" x14ac:dyDescent="0.2">
      <c r="B6" s="377" t="s">
        <v>10</v>
      </c>
      <c r="C6" s="164" t="s">
        <v>11</v>
      </c>
    </row>
    <row r="7" spans="2:12" x14ac:dyDescent="0.2">
      <c r="B7" s="377" t="s">
        <v>13</v>
      </c>
      <c r="C7" s="376">
        <v>485.09</v>
      </c>
    </row>
    <row r="8" spans="2:12" x14ac:dyDescent="0.2">
      <c r="B8" s="377" t="s">
        <v>15</v>
      </c>
      <c r="C8" s="165">
        <v>45173</v>
      </c>
    </row>
    <row r="9" spans="2:12" x14ac:dyDescent="0.2">
      <c r="B9" s="377" t="s">
        <v>17</v>
      </c>
      <c r="C9" s="165">
        <v>44955</v>
      </c>
      <c r="E9" s="166"/>
    </row>
    <row r="10" spans="2:12" x14ac:dyDescent="0.2">
      <c r="B10" s="377" t="s">
        <v>258</v>
      </c>
      <c r="C10" s="164" t="s">
        <v>259</v>
      </c>
      <c r="D10" t="s">
        <v>260</v>
      </c>
    </row>
    <row r="11" spans="2:12" x14ac:dyDescent="0.2">
      <c r="B11" s="377" t="s">
        <v>19</v>
      </c>
      <c r="C11" s="164">
        <v>1</v>
      </c>
    </row>
    <row r="13" spans="2:12" ht="20" x14ac:dyDescent="0.25">
      <c r="B13" s="167" t="s">
        <v>75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9"/>
    </row>
    <row r="14" spans="2:12" x14ac:dyDescent="0.2">
      <c r="C14" s="170">
        <f>EOMONTH(D14,-12)</f>
        <v>44227</v>
      </c>
      <c r="D14" s="170">
        <f>EOMONTH(E14,-12)</f>
        <v>44592</v>
      </c>
      <c r="E14" s="171">
        <f>$C$9</f>
        <v>44955</v>
      </c>
      <c r="F14" s="170">
        <f>EOMONTH(E14,12)</f>
        <v>45322</v>
      </c>
      <c r="G14" s="170">
        <f t="shared" ref="G14:K14" si="0">EOMONTH(F14,12)</f>
        <v>45688</v>
      </c>
      <c r="H14" s="170">
        <f t="shared" si="0"/>
        <v>46053</v>
      </c>
      <c r="I14" s="170">
        <f t="shared" si="0"/>
        <v>46418</v>
      </c>
      <c r="J14" s="170">
        <f t="shared" si="0"/>
        <v>46783</v>
      </c>
      <c r="K14" s="170">
        <f t="shared" si="0"/>
        <v>47149</v>
      </c>
      <c r="L14" s="172"/>
    </row>
    <row r="15" spans="2:12" x14ac:dyDescent="0.2">
      <c r="B15" t="s">
        <v>76</v>
      </c>
      <c r="C15" s="173">
        <v>16675</v>
      </c>
      <c r="D15" s="174">
        <v>26914</v>
      </c>
      <c r="E15" s="175">
        <v>26974</v>
      </c>
      <c r="F15" s="176">
        <f>E15*(1+INDEX(F46:F48,MATCH($C$10,$B$46:$B$48,0)))</f>
        <v>35285.529728266578</v>
      </c>
      <c r="G15" s="176">
        <f t="shared" ref="G15:K15" si="1">F15*(1+INDEX(G46:G48,MATCH($C$10,$B$46:$B$48,0)))</f>
        <v>46158.100697129994</v>
      </c>
      <c r="H15" s="176">
        <f t="shared" si="1"/>
        <v>60380.849497623742</v>
      </c>
      <c r="I15" s="176">
        <f t="shared" si="1"/>
        <v>78986.070288662886</v>
      </c>
      <c r="J15" s="176">
        <f t="shared" si="1"/>
        <v>103324.13921886143</v>
      </c>
      <c r="K15" s="176">
        <f t="shared" si="1"/>
        <v>135161.52539685214</v>
      </c>
      <c r="L15" s="177"/>
    </row>
    <row r="16" spans="2:12" x14ac:dyDescent="0.2">
      <c r="B16" s="178" t="s">
        <v>261</v>
      </c>
      <c r="C16" s="179"/>
      <c r="D16" s="180">
        <f>(D15-C15)/C15</f>
        <v>0.61403298350824587</v>
      </c>
      <c r="E16" s="181">
        <f t="shared" ref="E16" si="2">(E15-D15)/D15</f>
        <v>2.2293230289068887E-3</v>
      </c>
      <c r="F16" s="180"/>
      <c r="G16" s="180"/>
      <c r="H16" s="180"/>
      <c r="I16" s="180"/>
      <c r="J16" s="180"/>
      <c r="K16" s="180"/>
      <c r="L16" s="177"/>
    </row>
    <row r="17" spans="2:12" x14ac:dyDescent="0.2">
      <c r="B17" t="s">
        <v>262</v>
      </c>
      <c r="C17" s="182">
        <v>5181</v>
      </c>
      <c r="D17" s="182">
        <v>8265</v>
      </c>
      <c r="E17" s="183">
        <v>10074</v>
      </c>
      <c r="F17" s="184">
        <f t="shared" ref="F17:K17" si="3">F15*(1-F49)</f>
        <v>13178.113238027636</v>
      </c>
      <c r="G17" s="184">
        <f t="shared" si="3"/>
        <v>17238.700467964987</v>
      </c>
      <c r="H17" s="184">
        <f t="shared" si="3"/>
        <v>22550.481124010585</v>
      </c>
      <c r="I17" s="184">
        <f t="shared" si="3"/>
        <v>29498.986879513228</v>
      </c>
      <c r="J17" s="184">
        <f t="shared" si="3"/>
        <v>38588.543726952244</v>
      </c>
      <c r="K17" s="184">
        <f t="shared" si="3"/>
        <v>50478.876208492933</v>
      </c>
      <c r="L17" s="177"/>
    </row>
    <row r="18" spans="2:12" x14ac:dyDescent="0.2">
      <c r="B18" s="185" t="s">
        <v>78</v>
      </c>
      <c r="C18" s="186">
        <f t="shared" ref="C18:K18" si="4">C15-C17</f>
        <v>11494</v>
      </c>
      <c r="D18" s="186">
        <f t="shared" si="4"/>
        <v>18649</v>
      </c>
      <c r="E18" s="187">
        <f t="shared" si="4"/>
        <v>16900</v>
      </c>
      <c r="F18" s="188">
        <f t="shared" si="4"/>
        <v>22107.416490238942</v>
      </c>
      <c r="G18" s="188">
        <f>G15-G17</f>
        <v>28919.400229165007</v>
      </c>
      <c r="H18" s="188">
        <f t="shared" si="4"/>
        <v>37830.368373613157</v>
      </c>
      <c r="I18" s="188">
        <f t="shared" si="4"/>
        <v>49487.083409149658</v>
      </c>
      <c r="J18" s="188">
        <f t="shared" si="4"/>
        <v>64735.595491909182</v>
      </c>
      <c r="K18" s="188">
        <f t="shared" si="4"/>
        <v>84682.64918835921</v>
      </c>
    </row>
    <row r="19" spans="2:12" x14ac:dyDescent="0.2">
      <c r="B19" s="178" t="s">
        <v>263</v>
      </c>
      <c r="C19" s="189">
        <f t="shared" ref="C19:E19" si="5">(C15-C17)/C15</f>
        <v>0.6892953523238381</v>
      </c>
      <c r="D19" s="189">
        <f t="shared" si="5"/>
        <v>0.69291075276807612</v>
      </c>
      <c r="E19" s="190">
        <f t="shared" si="5"/>
        <v>0.62652925038926377</v>
      </c>
      <c r="F19" s="176"/>
      <c r="G19" s="176"/>
      <c r="H19" s="176"/>
      <c r="I19" s="176"/>
      <c r="J19" s="176"/>
      <c r="K19" s="176"/>
    </row>
    <row r="20" spans="2:12" x14ac:dyDescent="0.2">
      <c r="E20" s="191"/>
      <c r="F20" s="176"/>
      <c r="G20" s="176"/>
      <c r="H20" s="176"/>
      <c r="I20" s="176"/>
      <c r="J20" s="176"/>
      <c r="K20" s="176"/>
    </row>
    <row r="21" spans="2:12" x14ac:dyDescent="0.2">
      <c r="B21" t="s">
        <v>264</v>
      </c>
      <c r="C21" s="192">
        <v>3924</v>
      </c>
      <c r="D21" s="192">
        <v>5268</v>
      </c>
      <c r="E21" s="193">
        <v>7339</v>
      </c>
      <c r="F21" s="176">
        <f>$E$21/$E$23*F23</f>
        <v>9600.3745338380813</v>
      </c>
      <c r="G21" s="176">
        <f t="shared" ref="G21:K21" si="6">$E$21/$E$23*G23</f>
        <v>12558.54901075988</v>
      </c>
      <c r="H21" s="176">
        <f t="shared" si="6"/>
        <v>16428.229200825263</v>
      </c>
      <c r="I21" s="176">
        <f t="shared" si="6"/>
        <v>21490.278410636052</v>
      </c>
      <c r="J21" s="176">
        <f t="shared" si="6"/>
        <v>28112.102681368131</v>
      </c>
      <c r="K21" s="176">
        <f t="shared" si="6"/>
        <v>36774.317301382733</v>
      </c>
    </row>
    <row r="22" spans="2:12" x14ac:dyDescent="0.2">
      <c r="B22" t="s">
        <v>265</v>
      </c>
      <c r="C22" s="192">
        <v>1856</v>
      </c>
      <c r="D22" s="192">
        <v>2166</v>
      </c>
      <c r="E22" s="193">
        <v>2440</v>
      </c>
      <c r="F22" s="176">
        <f>$E$22/$E$23*F23</f>
        <v>3191.8400139753262</v>
      </c>
      <c r="G22" s="176">
        <f t="shared" ref="G22:K22" si="7">$E$22/$E$23*G23</f>
        <v>4175.3453585303323</v>
      </c>
      <c r="H22" s="176">
        <f t="shared" si="7"/>
        <v>5461.8993391488821</v>
      </c>
      <c r="I22" s="176">
        <f t="shared" si="7"/>
        <v>7144.8806815577018</v>
      </c>
      <c r="J22" s="176">
        <f t="shared" si="7"/>
        <v>9346.4410059324491</v>
      </c>
      <c r="K22" s="176">
        <f t="shared" si="7"/>
        <v>12226.370652047128</v>
      </c>
    </row>
    <row r="23" spans="2:12" x14ac:dyDescent="0.2">
      <c r="B23" s="185" t="s">
        <v>266</v>
      </c>
      <c r="C23" s="194">
        <f t="shared" ref="C23:E23" si="8">C22+C21</f>
        <v>5780</v>
      </c>
      <c r="D23" s="194">
        <f t="shared" si="8"/>
        <v>7434</v>
      </c>
      <c r="E23" s="187">
        <f t="shared" si="8"/>
        <v>9779</v>
      </c>
      <c r="F23" s="195">
        <f t="shared" ref="F23:K23" si="9">F15*F50</f>
        <v>12792.214547813408</v>
      </c>
      <c r="G23" s="195">
        <f t="shared" si="9"/>
        <v>16733.894369290214</v>
      </c>
      <c r="H23" s="195">
        <f t="shared" si="9"/>
        <v>21890.128539974146</v>
      </c>
      <c r="I23" s="195">
        <f t="shared" si="9"/>
        <v>28635.159092193757</v>
      </c>
      <c r="J23" s="195">
        <f t="shared" si="9"/>
        <v>37458.543687300582</v>
      </c>
      <c r="K23" s="195">
        <f t="shared" si="9"/>
        <v>49000.687953429864</v>
      </c>
    </row>
    <row r="24" spans="2:12" x14ac:dyDescent="0.2">
      <c r="B24" s="178" t="s">
        <v>267</v>
      </c>
      <c r="C24" s="189">
        <f t="shared" ref="C24:E24" si="10">C23/C15</f>
        <v>0.34662668665667168</v>
      </c>
      <c r="D24" s="189">
        <f t="shared" si="10"/>
        <v>0.2762131232815635</v>
      </c>
      <c r="E24" s="190">
        <f t="shared" si="10"/>
        <v>0.36253429228145623</v>
      </c>
      <c r="F24" s="176"/>
      <c r="G24" s="176"/>
      <c r="H24" s="176"/>
      <c r="I24" s="176"/>
      <c r="J24" s="176"/>
      <c r="K24" s="176"/>
    </row>
    <row r="25" spans="2:12" x14ac:dyDescent="0.2">
      <c r="B25" s="196"/>
      <c r="C25" s="196"/>
      <c r="D25" s="196"/>
      <c r="E25" s="197"/>
      <c r="F25" s="198"/>
      <c r="G25" s="198"/>
      <c r="H25" s="198"/>
      <c r="I25" s="198"/>
      <c r="J25" s="198"/>
      <c r="K25" s="176"/>
    </row>
    <row r="26" spans="2:12" x14ac:dyDescent="0.2">
      <c r="B26" s="199" t="s">
        <v>268</v>
      </c>
      <c r="C26" s="200"/>
      <c r="D26" s="200"/>
      <c r="E26" s="201"/>
      <c r="F26" s="176"/>
      <c r="G26" s="176"/>
      <c r="H26" s="176"/>
      <c r="I26" s="176"/>
      <c r="J26" s="176"/>
      <c r="K26" s="176"/>
    </row>
    <row r="27" spans="2:12" x14ac:dyDescent="0.2">
      <c r="B27" s="185" t="s">
        <v>48</v>
      </c>
      <c r="C27" s="194">
        <f t="shared" ref="C27:D27" si="11">C18-C23</f>
        <v>5714</v>
      </c>
      <c r="D27" s="194">
        <f t="shared" si="11"/>
        <v>11215</v>
      </c>
      <c r="E27" s="187">
        <f>E18-E23</f>
        <v>7121</v>
      </c>
      <c r="F27" s="195">
        <f>F18-F23</f>
        <v>9315.2019424255341</v>
      </c>
      <c r="G27" s="195">
        <f t="shared" ref="G27:K27" si="12">G18-G23</f>
        <v>12185.505859874793</v>
      </c>
      <c r="H27" s="195">
        <f t="shared" si="12"/>
        <v>15940.239833639011</v>
      </c>
      <c r="I27" s="195">
        <f t="shared" si="12"/>
        <v>20851.924316955901</v>
      </c>
      <c r="J27" s="195">
        <f t="shared" si="12"/>
        <v>27277.0518046086</v>
      </c>
      <c r="K27" s="195">
        <f t="shared" si="12"/>
        <v>35681.961234929346</v>
      </c>
    </row>
    <row r="28" spans="2:12" x14ac:dyDescent="0.2">
      <c r="B28" s="178" t="s">
        <v>269</v>
      </c>
      <c r="C28" s="189">
        <f t="shared" ref="C28:E28" si="13">C27/C15</f>
        <v>0.34266866566716642</v>
      </c>
      <c r="D28" s="189">
        <f t="shared" si="13"/>
        <v>0.41669762948651262</v>
      </c>
      <c r="E28" s="190">
        <f t="shared" si="13"/>
        <v>0.26399495810780754</v>
      </c>
      <c r="F28" s="176"/>
      <c r="G28" s="176"/>
      <c r="H28" s="176"/>
      <c r="I28" s="176"/>
      <c r="J28" s="176"/>
      <c r="K28" s="176"/>
    </row>
    <row r="29" spans="2:12" x14ac:dyDescent="0.2">
      <c r="B29" t="s">
        <v>82</v>
      </c>
      <c r="C29" s="173">
        <v>486</v>
      </c>
      <c r="D29" s="173">
        <v>611</v>
      </c>
      <c r="E29" s="175">
        <v>845</v>
      </c>
      <c r="F29" s="176">
        <f>-F122</f>
        <v>782.30472265316394</v>
      </c>
      <c r="G29" s="176">
        <f t="shared" ref="G29:K29" si="14">-G122</f>
        <v>1183.1549891432173</v>
      </c>
      <c r="H29" s="176">
        <f t="shared" si="14"/>
        <v>1707.519710534867</v>
      </c>
      <c r="I29" s="176">
        <f t="shared" si="14"/>
        <v>2393.4575382622816</v>
      </c>
      <c r="J29" s="176">
        <f t="shared" si="14"/>
        <v>3290.7541799178866</v>
      </c>
      <c r="K29" s="176">
        <f t="shared" si="14"/>
        <v>4464.5358705908538</v>
      </c>
    </row>
    <row r="30" spans="2:12" x14ac:dyDescent="0.2">
      <c r="B30" t="s">
        <v>83</v>
      </c>
      <c r="C30" s="182">
        <v>612</v>
      </c>
      <c r="D30" s="182">
        <v>563</v>
      </c>
      <c r="E30" s="183">
        <v>699</v>
      </c>
      <c r="F30" s="184">
        <f>-F127</f>
        <v>699</v>
      </c>
      <c r="G30" s="184">
        <f t="shared" ref="G30:K30" si="15">-G127</f>
        <v>699</v>
      </c>
      <c r="H30" s="184">
        <f t="shared" si="15"/>
        <v>699</v>
      </c>
      <c r="I30" s="184">
        <f t="shared" si="15"/>
        <v>699</v>
      </c>
      <c r="J30" s="184">
        <f t="shared" si="15"/>
        <v>699</v>
      </c>
      <c r="K30" s="184">
        <f t="shared" si="15"/>
        <v>699</v>
      </c>
    </row>
    <row r="31" spans="2:12" x14ac:dyDescent="0.2">
      <c r="B31" s="185" t="s">
        <v>84</v>
      </c>
      <c r="C31" s="194">
        <f t="shared" ref="C31:E31" si="16">C27-SUM(C29:C30)</f>
        <v>4616</v>
      </c>
      <c r="D31" s="194">
        <f t="shared" si="16"/>
        <v>10041</v>
      </c>
      <c r="E31" s="187">
        <f t="shared" si="16"/>
        <v>5577</v>
      </c>
      <c r="F31" s="195">
        <f>F27-SUM(F29:F30)</f>
        <v>7833.8972197723706</v>
      </c>
      <c r="G31" s="195">
        <f t="shared" ref="G31:K31" si="17">G27-SUM(G29:G30)</f>
        <v>10303.350870731576</v>
      </c>
      <c r="H31" s="195">
        <f t="shared" si="17"/>
        <v>13533.720123104144</v>
      </c>
      <c r="I31" s="195">
        <f t="shared" si="17"/>
        <v>17759.466778693619</v>
      </c>
      <c r="J31" s="195">
        <f t="shared" si="17"/>
        <v>23287.297624690713</v>
      </c>
      <c r="K31" s="195">
        <f t="shared" si="17"/>
        <v>30518.425364338491</v>
      </c>
    </row>
    <row r="32" spans="2:12" x14ac:dyDescent="0.2">
      <c r="B32" t="s">
        <v>270</v>
      </c>
      <c r="C32" s="173">
        <v>84</v>
      </c>
      <c r="D32" s="173">
        <v>-100</v>
      </c>
      <c r="E32" s="175">
        <v>1414</v>
      </c>
      <c r="F32" s="176">
        <v>0</v>
      </c>
      <c r="G32" s="176">
        <v>0</v>
      </c>
      <c r="H32" s="176">
        <v>0</v>
      </c>
      <c r="I32" s="176">
        <v>0</v>
      </c>
      <c r="J32" s="176">
        <v>0</v>
      </c>
      <c r="K32" s="176">
        <v>0</v>
      </c>
    </row>
    <row r="33" spans="2:11" x14ac:dyDescent="0.2">
      <c r="B33" t="s">
        <v>271</v>
      </c>
      <c r="C33" s="173">
        <v>4</v>
      </c>
      <c r="D33" s="173">
        <v>7</v>
      </c>
      <c r="E33" s="175">
        <v>13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</row>
    <row r="34" spans="2:11" x14ac:dyDescent="0.2">
      <c r="B34" t="s">
        <v>272</v>
      </c>
      <c r="C34" s="173">
        <v>57</v>
      </c>
      <c r="D34" s="173">
        <v>29</v>
      </c>
      <c r="E34" s="175">
        <v>267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</row>
    <row r="35" spans="2:11" x14ac:dyDescent="0.2">
      <c r="B35" t="s">
        <v>273</v>
      </c>
      <c r="C35" s="173">
        <v>184</v>
      </c>
      <c r="D35" s="173">
        <v>236</v>
      </c>
      <c r="E35" s="175">
        <v>262</v>
      </c>
      <c r="F35" s="176">
        <f ca="1">IF($C$11=1, F211,0)</f>
        <v>232.63337535284728</v>
      </c>
      <c r="G35" s="176">
        <f t="shared" ref="G35:K35" ca="1" si="18">IF($C$11=1, G211,0)</f>
        <v>274.44673440269833</v>
      </c>
      <c r="H35" s="176">
        <f t="shared" ca="1" si="18"/>
        <v>300.72765850843911</v>
      </c>
      <c r="I35" s="176">
        <f t="shared" ca="1" si="18"/>
        <v>303.49781951871671</v>
      </c>
      <c r="J35" s="176">
        <f t="shared" ca="1" si="18"/>
        <v>275.21125158881529</v>
      </c>
      <c r="K35" s="176">
        <f t="shared" ca="1" si="18"/>
        <v>216.32161417683133</v>
      </c>
    </row>
    <row r="36" spans="2:11" x14ac:dyDescent="0.2">
      <c r="B36" s="185" t="s">
        <v>195</v>
      </c>
      <c r="C36" s="194">
        <f t="shared" ref="C36:K36" si="19">C31-C32+C33+C34-C35</f>
        <v>4409</v>
      </c>
      <c r="D36" s="194">
        <f t="shared" si="19"/>
        <v>9941</v>
      </c>
      <c r="E36" s="194">
        <f t="shared" si="19"/>
        <v>4181</v>
      </c>
      <c r="F36" s="202">
        <f t="shared" ca="1" si="19"/>
        <v>7601.2638444195236</v>
      </c>
      <c r="G36" s="195">
        <f t="shared" ca="1" si="19"/>
        <v>10028.904136328878</v>
      </c>
      <c r="H36" s="195">
        <f t="shared" ca="1" si="19"/>
        <v>13232.992464595705</v>
      </c>
      <c r="I36" s="195">
        <f t="shared" ca="1" si="19"/>
        <v>17455.968959174901</v>
      </c>
      <c r="J36" s="195">
        <f t="shared" ca="1" si="19"/>
        <v>23012.086373101898</v>
      </c>
      <c r="K36" s="195">
        <f t="shared" ca="1" si="19"/>
        <v>30302.103750161659</v>
      </c>
    </row>
    <row r="37" spans="2:11" x14ac:dyDescent="0.2">
      <c r="B37" t="s">
        <v>274</v>
      </c>
      <c r="C37" s="166">
        <v>77</v>
      </c>
      <c r="D37" s="166">
        <v>189</v>
      </c>
      <c r="E37" s="203">
        <v>-187</v>
      </c>
      <c r="F37" s="176">
        <f t="shared" ref="F37:K37" ca="1" si="20">F36*F52</f>
        <v>-339.9752066267522</v>
      </c>
      <c r="G37" s="176">
        <f t="shared" ca="1" si="20"/>
        <v>-448.55419122064103</v>
      </c>
      <c r="H37" s="176">
        <f t="shared" ca="1" si="20"/>
        <v>-591.8607009996166</v>
      </c>
      <c r="I37" s="176">
        <f t="shared" ca="1" si="20"/>
        <v>-780.73814765981979</v>
      </c>
      <c r="J37" s="176">
        <f t="shared" ca="1" si="20"/>
        <v>-1029.2418444798027</v>
      </c>
      <c r="K37" s="176">
        <f t="shared" ca="1" si="20"/>
        <v>-1355.2961973882398</v>
      </c>
    </row>
    <row r="38" spans="2:11" x14ac:dyDescent="0.2">
      <c r="B38" s="178" t="s">
        <v>275</v>
      </c>
      <c r="C38" s="189">
        <f t="shared" ref="C38:E38" si="21">C37/C36</f>
        <v>1.7464277613971423E-2</v>
      </c>
      <c r="D38" s="189">
        <f t="shared" si="21"/>
        <v>1.9012171813700834E-2</v>
      </c>
      <c r="E38" s="204">
        <f t="shared" si="21"/>
        <v>-4.4726142071274816E-2</v>
      </c>
      <c r="F38" s="176"/>
      <c r="G38" s="176"/>
      <c r="H38" s="176"/>
      <c r="I38" s="176"/>
      <c r="J38" s="176"/>
      <c r="K38" s="176"/>
    </row>
    <row r="39" spans="2:11" x14ac:dyDescent="0.2">
      <c r="B39" s="185" t="s">
        <v>89</v>
      </c>
      <c r="C39" s="194">
        <f t="shared" ref="C39:E39" si="22">C36-C37</f>
        <v>4332</v>
      </c>
      <c r="D39" s="194">
        <f t="shared" si="22"/>
        <v>9752</v>
      </c>
      <c r="E39" s="187">
        <f t="shared" si="22"/>
        <v>4368</v>
      </c>
      <c r="F39" s="195">
        <f ca="1">F36-F37</f>
        <v>7941.2390510462756</v>
      </c>
      <c r="G39" s="195">
        <f t="shared" ref="G39:K39" ca="1" si="23">G36-G37</f>
        <v>10477.458327549519</v>
      </c>
      <c r="H39" s="195">
        <f t="shared" ca="1" si="23"/>
        <v>13824.853165595321</v>
      </c>
      <c r="I39" s="195">
        <f t="shared" ca="1" si="23"/>
        <v>18236.707106834721</v>
      </c>
      <c r="J39" s="195">
        <f t="shared" ca="1" si="23"/>
        <v>24041.3282175817</v>
      </c>
      <c r="K39" s="195">
        <f t="shared" ca="1" si="23"/>
        <v>31657.3999475499</v>
      </c>
    </row>
    <row r="41" spans="2:11" x14ac:dyDescent="0.2">
      <c r="B41" s="185" t="s">
        <v>276</v>
      </c>
      <c r="C41" s="205">
        <f t="shared" ref="C41:K41" si="24">C233</f>
        <v>1.7314148681055155</v>
      </c>
      <c r="D41" s="205">
        <f t="shared" si="24"/>
        <v>3.9577922077922079</v>
      </c>
      <c r="E41" s="205">
        <f t="shared" si="24"/>
        <v>1.735399284862932</v>
      </c>
      <c r="F41" s="206">
        <f t="shared" ca="1" si="24"/>
        <v>3.1669517507534541</v>
      </c>
      <c r="G41" s="205">
        <f t="shared" ca="1" si="24"/>
        <v>4.178247695606137</v>
      </c>
      <c r="H41" s="205">
        <f t="shared" ca="1" si="24"/>
        <v>5.4972141532670218</v>
      </c>
      <c r="I41" s="205">
        <f t="shared" ca="1" si="24"/>
        <v>7.2151429076472091</v>
      </c>
      <c r="J41" s="205">
        <f t="shared" ca="1" si="24"/>
        <v>9.4489755312438319</v>
      </c>
      <c r="K41" s="205">
        <f t="shared" ca="1" si="24"/>
        <v>12.345882914570407</v>
      </c>
    </row>
    <row r="42" spans="2:11" x14ac:dyDescent="0.2">
      <c r="B42" s="185" t="s">
        <v>277</v>
      </c>
      <c r="C42" s="205">
        <f t="shared" ref="C42:K42" si="25">C232</f>
        <v>1.7258964143426294</v>
      </c>
      <c r="D42" s="205">
        <f t="shared" si="25"/>
        <v>3.8469428007889546</v>
      </c>
      <c r="E42" s="205">
        <f t="shared" si="25"/>
        <v>1.7423214998005585</v>
      </c>
      <c r="F42" s="206">
        <f t="shared" ca="1" si="25"/>
        <v>3.1796320658440189</v>
      </c>
      <c r="G42" s="205">
        <f t="shared" ca="1" si="25"/>
        <v>4.194976610968955</v>
      </c>
      <c r="H42" s="205">
        <f t="shared" ca="1" si="25"/>
        <v>5.5191601405955044</v>
      </c>
      <c r="I42" s="205">
        <f t="shared" ca="1" si="25"/>
        <v>7.2438021757852757</v>
      </c>
      <c r="J42" s="205">
        <f t="shared" ca="1" si="25"/>
        <v>9.4862594252036629</v>
      </c>
      <c r="K42" s="205">
        <f t="shared" ca="1" si="25"/>
        <v>12.394218396763376</v>
      </c>
    </row>
    <row r="44" spans="2:11" x14ac:dyDescent="0.2">
      <c r="B44" s="199" t="s">
        <v>278</v>
      </c>
    </row>
    <row r="45" spans="2:11" x14ac:dyDescent="0.2">
      <c r="B45" t="s">
        <v>279</v>
      </c>
      <c r="C45" s="207"/>
      <c r="D45" s="189">
        <f>(D15/C15)-1</f>
        <v>0.61403298350824587</v>
      </c>
      <c r="E45" s="190">
        <f>(E15/D15)-1</f>
        <v>2.2293230289069932E-3</v>
      </c>
      <c r="F45" s="208"/>
      <c r="G45" s="189"/>
      <c r="H45" s="189"/>
      <c r="I45" s="189"/>
      <c r="J45" s="189"/>
      <c r="K45" s="189"/>
    </row>
    <row r="46" spans="2:11" x14ac:dyDescent="0.2">
      <c r="B46" s="178" t="s">
        <v>280</v>
      </c>
      <c r="C46" s="207"/>
      <c r="D46" s="207"/>
      <c r="E46" s="209"/>
      <c r="F46" s="210">
        <v>0.65</v>
      </c>
      <c r="G46" s="211">
        <f t="shared" ref="G46:K52" si="26">F46</f>
        <v>0.65</v>
      </c>
      <c r="H46" s="211">
        <f t="shared" si="26"/>
        <v>0.65</v>
      </c>
      <c r="I46" s="211">
        <f t="shared" si="26"/>
        <v>0.65</v>
      </c>
      <c r="J46" s="211">
        <f t="shared" si="26"/>
        <v>0.65</v>
      </c>
      <c r="K46" s="211">
        <f t="shared" si="26"/>
        <v>0.65</v>
      </c>
    </row>
    <row r="47" spans="2:11" x14ac:dyDescent="0.2">
      <c r="B47" s="178" t="s">
        <v>259</v>
      </c>
      <c r="C47" s="207"/>
      <c r="D47" s="212"/>
      <c r="E47" s="213"/>
      <c r="F47" s="214">
        <f>AVERAGE(D16:E16)</f>
        <v>0.30813115326857637</v>
      </c>
      <c r="G47" s="211">
        <f t="shared" si="26"/>
        <v>0.30813115326857637</v>
      </c>
      <c r="H47" s="211">
        <f t="shared" si="26"/>
        <v>0.30813115326857637</v>
      </c>
      <c r="I47" s="211">
        <f t="shared" si="26"/>
        <v>0.30813115326857637</v>
      </c>
      <c r="J47" s="211">
        <f t="shared" si="26"/>
        <v>0.30813115326857637</v>
      </c>
      <c r="K47" s="211">
        <f t="shared" si="26"/>
        <v>0.30813115326857637</v>
      </c>
    </row>
    <row r="48" spans="2:11" x14ac:dyDescent="0.2">
      <c r="B48" s="178" t="s">
        <v>281</v>
      </c>
      <c r="C48" s="207"/>
      <c r="D48" s="207"/>
      <c r="E48" s="209"/>
      <c r="F48" s="214">
        <v>0.15</v>
      </c>
      <c r="G48" s="211">
        <f t="shared" si="26"/>
        <v>0.15</v>
      </c>
      <c r="H48" s="211">
        <f t="shared" si="26"/>
        <v>0.15</v>
      </c>
      <c r="I48" s="211">
        <f t="shared" si="26"/>
        <v>0.15</v>
      </c>
      <c r="J48" s="211">
        <f t="shared" si="26"/>
        <v>0.15</v>
      </c>
      <c r="K48" s="211">
        <f t="shared" si="26"/>
        <v>0.15</v>
      </c>
    </row>
    <row r="49" spans="2:13" x14ac:dyDescent="0.2">
      <c r="B49" t="s">
        <v>282</v>
      </c>
      <c r="C49" s="189">
        <f>C18/C15</f>
        <v>0.6892953523238381</v>
      </c>
      <c r="D49" s="189">
        <f>D18/D15</f>
        <v>0.69291075276807612</v>
      </c>
      <c r="E49" s="190">
        <f>E18/E15</f>
        <v>0.62652925038926377</v>
      </c>
      <c r="F49" s="215">
        <f>E49</f>
        <v>0.62652925038926377</v>
      </c>
      <c r="G49" s="211">
        <f t="shared" si="26"/>
        <v>0.62652925038926377</v>
      </c>
      <c r="H49" s="211">
        <f t="shared" si="26"/>
        <v>0.62652925038926377</v>
      </c>
      <c r="I49" s="211">
        <f t="shared" si="26"/>
        <v>0.62652925038926377</v>
      </c>
      <c r="J49" s="211">
        <f t="shared" si="26"/>
        <v>0.62652925038926377</v>
      </c>
      <c r="K49" s="211">
        <f t="shared" si="26"/>
        <v>0.62652925038926377</v>
      </c>
    </row>
    <row r="50" spans="2:13" x14ac:dyDescent="0.2">
      <c r="B50" t="s">
        <v>283</v>
      </c>
      <c r="C50" s="189">
        <f>C23/C15</f>
        <v>0.34662668665667168</v>
      </c>
      <c r="D50" s="189">
        <f>D23/D15</f>
        <v>0.2762131232815635</v>
      </c>
      <c r="E50" s="190">
        <f>E23/E15</f>
        <v>0.36253429228145623</v>
      </c>
      <c r="F50" s="215">
        <f>E50</f>
        <v>0.36253429228145623</v>
      </c>
      <c r="G50" s="211">
        <f t="shared" si="26"/>
        <v>0.36253429228145623</v>
      </c>
      <c r="H50" s="211">
        <f t="shared" si="26"/>
        <v>0.36253429228145623</v>
      </c>
      <c r="I50" s="211">
        <f t="shared" si="26"/>
        <v>0.36253429228145623</v>
      </c>
      <c r="J50" s="211">
        <f t="shared" si="26"/>
        <v>0.36253429228145623</v>
      </c>
      <c r="K50" s="211">
        <f t="shared" si="26"/>
        <v>0.36253429228145623</v>
      </c>
    </row>
    <row r="51" spans="2:13" x14ac:dyDescent="0.2">
      <c r="B51" t="s">
        <v>269</v>
      </c>
      <c r="C51" s="189">
        <f>C27/C15</f>
        <v>0.34266866566716642</v>
      </c>
      <c r="D51" s="189">
        <f>D27/D15</f>
        <v>0.41669762948651262</v>
      </c>
      <c r="E51" s="190">
        <f>E27/E15</f>
        <v>0.26399495810780754</v>
      </c>
      <c r="F51" s="215">
        <f>E51</f>
        <v>0.26399495810780754</v>
      </c>
      <c r="G51" s="211">
        <f t="shared" si="26"/>
        <v>0.26399495810780754</v>
      </c>
      <c r="H51" s="211">
        <f t="shared" si="26"/>
        <v>0.26399495810780754</v>
      </c>
      <c r="I51" s="211">
        <f t="shared" si="26"/>
        <v>0.26399495810780754</v>
      </c>
      <c r="J51" s="211">
        <f t="shared" si="26"/>
        <v>0.26399495810780754</v>
      </c>
      <c r="K51" s="211">
        <f t="shared" si="26"/>
        <v>0.26399495810780754</v>
      </c>
    </row>
    <row r="52" spans="2:13" x14ac:dyDescent="0.2">
      <c r="B52" t="s">
        <v>284</v>
      </c>
      <c r="C52" s="189">
        <f>C37/C36</f>
        <v>1.7464277613971423E-2</v>
      </c>
      <c r="D52" s="189">
        <f>D37/D36</f>
        <v>1.9012171813700834E-2</v>
      </c>
      <c r="E52" s="190">
        <f>E37/E36</f>
        <v>-4.4726142071274816E-2</v>
      </c>
      <c r="F52" s="215">
        <f>E52</f>
        <v>-4.4726142071274816E-2</v>
      </c>
      <c r="G52" s="211">
        <f t="shared" si="26"/>
        <v>-4.4726142071274816E-2</v>
      </c>
      <c r="H52" s="211">
        <f t="shared" si="26"/>
        <v>-4.4726142071274816E-2</v>
      </c>
      <c r="I52" s="211">
        <f t="shared" si="26"/>
        <v>-4.4726142071274816E-2</v>
      </c>
      <c r="J52" s="211">
        <f t="shared" si="26"/>
        <v>-4.4726142071274816E-2</v>
      </c>
      <c r="K52" s="211">
        <f t="shared" si="26"/>
        <v>-4.4726142071274816E-2</v>
      </c>
    </row>
    <row r="55" spans="2:13" ht="20" x14ac:dyDescent="0.25">
      <c r="B55" s="167" t="s">
        <v>154</v>
      </c>
      <c r="C55" s="161"/>
      <c r="D55" s="161"/>
      <c r="E55" s="161"/>
      <c r="F55" s="161"/>
      <c r="G55" s="161"/>
      <c r="H55" s="161"/>
      <c r="I55" s="161"/>
      <c r="J55" s="161"/>
      <c r="K55" s="161"/>
    </row>
    <row r="56" spans="2:13" x14ac:dyDescent="0.2">
      <c r="B56" s="172"/>
      <c r="C56" s="170">
        <f>EOMONTH(D56,-12)</f>
        <v>44227</v>
      </c>
      <c r="D56" s="170">
        <f>EOMONTH(E56,-12)</f>
        <v>44592</v>
      </c>
      <c r="E56" s="171">
        <f>$C$9</f>
        <v>44955</v>
      </c>
      <c r="F56" s="170">
        <f>EOMONTH(E56,12)</f>
        <v>45322</v>
      </c>
      <c r="G56" s="170">
        <f t="shared" ref="G56:K56" si="27">EOMONTH(F56,12)</f>
        <v>45688</v>
      </c>
      <c r="H56" s="170">
        <f t="shared" si="27"/>
        <v>46053</v>
      </c>
      <c r="I56" s="170">
        <f t="shared" si="27"/>
        <v>46418</v>
      </c>
      <c r="J56" s="170">
        <f t="shared" si="27"/>
        <v>46783</v>
      </c>
      <c r="K56" s="170">
        <f t="shared" si="27"/>
        <v>47149</v>
      </c>
      <c r="L56" s="172"/>
      <c r="M56" s="172"/>
    </row>
    <row r="57" spans="2:13" x14ac:dyDescent="0.2">
      <c r="B57" s="199" t="s">
        <v>285</v>
      </c>
      <c r="C57" s="176"/>
      <c r="D57" s="176"/>
      <c r="E57" s="216"/>
      <c r="F57" s="217"/>
      <c r="G57" s="217"/>
      <c r="H57" s="217"/>
      <c r="I57" s="217"/>
      <c r="J57" s="217"/>
      <c r="K57" s="217"/>
    </row>
    <row r="58" spans="2:13" x14ac:dyDescent="0.2">
      <c r="B58" s="218" t="s">
        <v>286</v>
      </c>
      <c r="C58" s="219">
        <v>847</v>
      </c>
      <c r="D58" s="219">
        <v>1990</v>
      </c>
      <c r="E58" s="220">
        <v>3389</v>
      </c>
      <c r="F58" s="219">
        <f ca="1">F158</f>
        <v>2500</v>
      </c>
      <c r="G58" s="176">
        <f ca="1">G158</f>
        <v>2500</v>
      </c>
      <c r="H58" s="176">
        <f ca="1">H158</f>
        <v>2500</v>
      </c>
      <c r="I58" s="176">
        <f t="shared" ref="I58:K58" ca="1" si="28">I158</f>
        <v>2500</v>
      </c>
      <c r="J58" s="176">
        <f t="shared" ca="1" si="28"/>
        <v>2500</v>
      </c>
      <c r="K58" s="176">
        <f t="shared" ca="1" si="28"/>
        <v>6611.4469407421166</v>
      </c>
    </row>
    <row r="59" spans="2:13" x14ac:dyDescent="0.2">
      <c r="B59" s="218" t="s">
        <v>287</v>
      </c>
      <c r="C59" s="219">
        <v>10714</v>
      </c>
      <c r="D59" s="219">
        <v>19218</v>
      </c>
      <c r="E59" s="220">
        <v>9907</v>
      </c>
      <c r="F59" s="219">
        <f>E59</f>
        <v>9907</v>
      </c>
      <c r="G59" s="219">
        <f t="shared" ref="G59:K59" si="29">F59</f>
        <v>9907</v>
      </c>
      <c r="H59" s="219">
        <f t="shared" si="29"/>
        <v>9907</v>
      </c>
      <c r="I59" s="219">
        <f t="shared" si="29"/>
        <v>9907</v>
      </c>
      <c r="J59" s="219">
        <f t="shared" si="29"/>
        <v>9907</v>
      </c>
      <c r="K59" s="219">
        <f t="shared" si="29"/>
        <v>9907</v>
      </c>
    </row>
    <row r="60" spans="2:13" x14ac:dyDescent="0.2">
      <c r="B60" s="218" t="s">
        <v>288</v>
      </c>
      <c r="C60" s="219">
        <v>2429</v>
      </c>
      <c r="D60" s="219">
        <v>4650</v>
      </c>
      <c r="E60" s="220">
        <v>3827</v>
      </c>
      <c r="F60" s="176">
        <f>F99</f>
        <v>5006.217923558841</v>
      </c>
      <c r="G60" s="176">
        <f t="shared" ref="G60:K62" si="30">G99</f>
        <v>6548.7896258588444</v>
      </c>
      <c r="H60" s="176">
        <f t="shared" si="30"/>
        <v>8566.6757257880199</v>
      </c>
      <c r="I60" s="176">
        <f t="shared" si="30"/>
        <v>11206.335396853001</v>
      </c>
      <c r="J60" s="176">
        <f t="shared" si="30"/>
        <v>14659.356446599786</v>
      </c>
      <c r="K60" s="176">
        <f t="shared" si="30"/>
        <v>19176.36085466572</v>
      </c>
      <c r="M60" s="176">
        <f>0.8*E60</f>
        <v>3061.6000000000004</v>
      </c>
    </row>
    <row r="61" spans="2:13" x14ac:dyDescent="0.2">
      <c r="B61" s="218" t="s">
        <v>167</v>
      </c>
      <c r="C61" s="219">
        <v>1826</v>
      </c>
      <c r="D61" s="219">
        <v>2605</v>
      </c>
      <c r="E61" s="220">
        <v>5159</v>
      </c>
      <c r="F61" s="176">
        <f>F100</f>
        <v>6748.6486197125841</v>
      </c>
      <c r="G61" s="176">
        <f t="shared" si="30"/>
        <v>8828.1175019090115</v>
      </c>
      <c r="H61" s="176">
        <f t="shared" si="30"/>
        <v>11548.335528962736</v>
      </c>
      <c r="I61" s="176">
        <f t="shared" si="30"/>
        <v>15106.737473834501</v>
      </c>
      <c r="J61" s="176">
        <f t="shared" si="30"/>
        <v>19761.593913772747</v>
      </c>
      <c r="K61" s="176">
        <f t="shared" si="30"/>
        <v>25850.756636848826</v>
      </c>
      <c r="M61" s="176">
        <f>0.7*E61</f>
        <v>3611.2999999999997</v>
      </c>
    </row>
    <row r="62" spans="2:13" x14ac:dyDescent="0.2">
      <c r="B62" s="218" t="s">
        <v>289</v>
      </c>
      <c r="C62" s="219">
        <v>239</v>
      </c>
      <c r="D62" s="219">
        <v>366</v>
      </c>
      <c r="E62" s="220">
        <v>791</v>
      </c>
      <c r="F62" s="176">
        <f>F101</f>
        <v>1034.7317422354438</v>
      </c>
      <c r="G62" s="176">
        <f t="shared" si="30"/>
        <v>1353.5648272940543</v>
      </c>
      <c r="H62" s="176">
        <f t="shared" si="30"/>
        <v>1770.640318551953</v>
      </c>
      <c r="I62" s="176">
        <f t="shared" si="30"/>
        <v>2316.2297619312058</v>
      </c>
      <c r="J62" s="176">
        <f t="shared" si="30"/>
        <v>3029.9323097100682</v>
      </c>
      <c r="K62" s="176">
        <f t="shared" si="30"/>
        <v>3963.5488466267529</v>
      </c>
      <c r="M62" s="269">
        <f>SUM(M60:M61)</f>
        <v>6672.9</v>
      </c>
    </row>
    <row r="63" spans="2:13" x14ac:dyDescent="0.2">
      <c r="B63" s="185" t="s">
        <v>290</v>
      </c>
      <c r="C63" s="195">
        <f t="shared" ref="C63:E63" si="31">SUM(C58:C62)</f>
        <v>16055</v>
      </c>
      <c r="D63" s="195">
        <f t="shared" si="31"/>
        <v>28829</v>
      </c>
      <c r="E63" s="221">
        <f t="shared" si="31"/>
        <v>23073</v>
      </c>
      <c r="F63" s="195">
        <f t="shared" ref="F63:K63" ca="1" si="32">SUM(F58:F62)</f>
        <v>25196.598285506869</v>
      </c>
      <c r="G63" s="195">
        <f t="shared" ca="1" si="32"/>
        <v>29137.471955061912</v>
      </c>
      <c r="H63" s="195">
        <f t="shared" ca="1" si="32"/>
        <v>34292.651573302712</v>
      </c>
      <c r="I63" s="195">
        <f t="shared" ca="1" si="32"/>
        <v>41036.30263261871</v>
      </c>
      <c r="J63" s="195">
        <f t="shared" ca="1" si="32"/>
        <v>49857.882670082603</v>
      </c>
      <c r="K63" s="195">
        <f t="shared" ca="1" si="32"/>
        <v>65509.113278883415</v>
      </c>
    </row>
    <row r="64" spans="2:13" x14ac:dyDescent="0.2">
      <c r="C64" s="176"/>
      <c r="D64" s="176"/>
      <c r="E64" s="216"/>
      <c r="F64" s="176"/>
      <c r="G64" s="176"/>
      <c r="H64" s="176"/>
      <c r="I64" s="176"/>
      <c r="J64" s="176"/>
      <c r="K64" s="176"/>
    </row>
    <row r="65" spans="2:11" x14ac:dyDescent="0.2">
      <c r="B65" t="s">
        <v>291</v>
      </c>
      <c r="C65" s="219">
        <v>2149</v>
      </c>
      <c r="D65" s="222">
        <v>2778</v>
      </c>
      <c r="E65" s="223">
        <v>3807</v>
      </c>
      <c r="F65" s="176">
        <f>F124</f>
        <v>5476.133058572148</v>
      </c>
      <c r="G65" s="176">
        <f t="shared" ref="G65:K65" si="33">G124</f>
        <v>7499.7802013493583</v>
      </c>
      <c r="H65" s="176">
        <f t="shared" si="33"/>
        <v>9987.178261947689</v>
      </c>
      <c r="I65" s="176">
        <f t="shared" si="33"/>
        <v>13081.223345504724</v>
      </c>
      <c r="J65" s="176">
        <f t="shared" si="33"/>
        <v>16968.842298831678</v>
      </c>
      <c r="K65" s="176">
        <f t="shared" si="33"/>
        <v>21894.559953624557</v>
      </c>
    </row>
    <row r="66" spans="2:11" x14ac:dyDescent="0.2">
      <c r="B66" t="s">
        <v>292</v>
      </c>
      <c r="C66" s="219">
        <v>707</v>
      </c>
      <c r="D66" s="222">
        <v>829</v>
      </c>
      <c r="E66" s="223">
        <v>1038</v>
      </c>
      <c r="F66" s="176"/>
      <c r="G66" s="176"/>
      <c r="H66" s="176"/>
      <c r="I66" s="176"/>
      <c r="J66" s="176"/>
      <c r="K66" s="176"/>
    </row>
    <row r="67" spans="2:11" x14ac:dyDescent="0.2">
      <c r="B67" t="s">
        <v>175</v>
      </c>
      <c r="C67" s="219">
        <v>4193</v>
      </c>
      <c r="D67" s="222">
        <v>4349</v>
      </c>
      <c r="E67" s="223">
        <v>4372</v>
      </c>
      <c r="F67" s="176">
        <f t="shared" ref="F67:K67" si="34">F131</f>
        <v>4372</v>
      </c>
      <c r="G67" s="176">
        <f t="shared" si="34"/>
        <v>4372</v>
      </c>
      <c r="H67" s="176">
        <f t="shared" si="34"/>
        <v>4372</v>
      </c>
      <c r="I67" s="176">
        <f t="shared" si="34"/>
        <v>4372</v>
      </c>
      <c r="J67" s="176">
        <f t="shared" si="34"/>
        <v>4372</v>
      </c>
      <c r="K67" s="176">
        <f t="shared" si="34"/>
        <v>4372</v>
      </c>
    </row>
    <row r="68" spans="2:11" x14ac:dyDescent="0.2">
      <c r="B68" t="s">
        <v>293</v>
      </c>
      <c r="C68" s="219">
        <v>2737</v>
      </c>
      <c r="D68" s="222">
        <v>2339</v>
      </c>
      <c r="E68" s="223">
        <v>1676</v>
      </c>
      <c r="F68" s="176">
        <f t="shared" ref="F68:K68" si="35">F129</f>
        <v>977</v>
      </c>
      <c r="G68" s="176">
        <f t="shared" si="35"/>
        <v>278</v>
      </c>
      <c r="H68" s="176">
        <f t="shared" si="35"/>
        <v>-421</v>
      </c>
      <c r="I68" s="176">
        <f t="shared" si="35"/>
        <v>-1120</v>
      </c>
      <c r="J68" s="176">
        <f t="shared" si="35"/>
        <v>-1819</v>
      </c>
      <c r="K68" s="176">
        <f t="shared" si="35"/>
        <v>-2518</v>
      </c>
    </row>
    <row r="69" spans="2:11" x14ac:dyDescent="0.2">
      <c r="B69" t="s">
        <v>294</v>
      </c>
      <c r="C69" s="219">
        <v>806</v>
      </c>
      <c r="D69" s="222">
        <v>1222</v>
      </c>
      <c r="E69" s="223">
        <v>3396</v>
      </c>
      <c r="F69" s="219">
        <f>E69</f>
        <v>3396</v>
      </c>
      <c r="G69" s="219">
        <f t="shared" ref="G69:K70" si="36">F69</f>
        <v>3396</v>
      </c>
      <c r="H69" s="219">
        <f t="shared" si="36"/>
        <v>3396</v>
      </c>
      <c r="I69" s="219">
        <f t="shared" si="36"/>
        <v>3396</v>
      </c>
      <c r="J69" s="219">
        <f t="shared" si="36"/>
        <v>3396</v>
      </c>
      <c r="K69" s="219">
        <f t="shared" si="36"/>
        <v>3396</v>
      </c>
    </row>
    <row r="70" spans="2:11" x14ac:dyDescent="0.2">
      <c r="B70" t="s">
        <v>295</v>
      </c>
      <c r="C70" s="219">
        <v>2144</v>
      </c>
      <c r="D70" s="222">
        <v>3841</v>
      </c>
      <c r="E70" s="223">
        <v>3820</v>
      </c>
      <c r="F70" s="219">
        <f>E70</f>
        <v>3820</v>
      </c>
      <c r="G70" s="219">
        <f t="shared" si="36"/>
        <v>3820</v>
      </c>
      <c r="H70" s="219">
        <f t="shared" si="36"/>
        <v>3820</v>
      </c>
      <c r="I70" s="219">
        <f t="shared" si="36"/>
        <v>3820</v>
      </c>
      <c r="J70" s="219">
        <f t="shared" si="36"/>
        <v>3820</v>
      </c>
      <c r="K70" s="219">
        <f t="shared" si="36"/>
        <v>3820</v>
      </c>
    </row>
    <row r="71" spans="2:11" x14ac:dyDescent="0.2">
      <c r="B71" s="185" t="s">
        <v>178</v>
      </c>
      <c r="C71" s="195">
        <f t="shared" ref="C71:E71" si="37">SUM(C65:C70)+C63</f>
        <v>28791</v>
      </c>
      <c r="D71" s="195">
        <f t="shared" si="37"/>
        <v>44187</v>
      </c>
      <c r="E71" s="221">
        <f t="shared" si="37"/>
        <v>41182</v>
      </c>
      <c r="F71" s="195">
        <f t="shared" ref="F71:K71" ca="1" si="38">SUM(F65:F70)+F63</f>
        <v>43237.731344079017</v>
      </c>
      <c r="G71" s="195">
        <f t="shared" ca="1" si="38"/>
        <v>48503.252156411269</v>
      </c>
      <c r="H71" s="195">
        <f t="shared" ca="1" si="38"/>
        <v>55446.829835250399</v>
      </c>
      <c r="I71" s="195">
        <f t="shared" ca="1" si="38"/>
        <v>64585.525978123434</v>
      </c>
      <c r="J71" s="195">
        <f t="shared" ca="1" si="38"/>
        <v>76595.724968914277</v>
      </c>
      <c r="K71" s="195">
        <f t="shared" ca="1" si="38"/>
        <v>96473.673232507979</v>
      </c>
    </row>
    <row r="72" spans="2:11" x14ac:dyDescent="0.2">
      <c r="C72" s="176"/>
      <c r="D72" s="176"/>
      <c r="E72" s="216"/>
      <c r="F72" s="176"/>
      <c r="G72" s="176"/>
      <c r="H72" s="176"/>
      <c r="I72" s="176"/>
      <c r="J72" s="176"/>
      <c r="K72" s="176"/>
    </row>
    <row r="73" spans="2:11" x14ac:dyDescent="0.2">
      <c r="B73" s="199" t="s">
        <v>296</v>
      </c>
      <c r="C73" s="176"/>
      <c r="D73" s="176"/>
      <c r="E73" s="216"/>
      <c r="F73" s="176"/>
      <c r="G73" s="176"/>
      <c r="H73" s="176"/>
      <c r="I73" s="176"/>
      <c r="J73" s="176"/>
      <c r="K73" s="176"/>
    </row>
    <row r="74" spans="2:11" x14ac:dyDescent="0.2">
      <c r="B74" t="s">
        <v>297</v>
      </c>
      <c r="C74" s="222">
        <v>1201</v>
      </c>
      <c r="D74" s="222">
        <v>1783</v>
      </c>
      <c r="E74" s="223">
        <v>1193</v>
      </c>
      <c r="F74" s="176">
        <f>F104</f>
        <v>1560.6004658494114</v>
      </c>
      <c r="G74" s="176">
        <f t="shared" ref="G74:K75" si="39">G104</f>
        <v>2041.4700871830682</v>
      </c>
      <c r="H74" s="176">
        <f t="shared" si="39"/>
        <v>2670.510619510088</v>
      </c>
      <c r="I74" s="176">
        <f t="shared" si="39"/>
        <v>3493.378136515712</v>
      </c>
      <c r="J74" s="176">
        <f t="shared" si="39"/>
        <v>4569.7967705235287</v>
      </c>
      <c r="K74" s="176">
        <f t="shared" si="39"/>
        <v>5977.8935196279599</v>
      </c>
    </row>
    <row r="75" spans="2:11" x14ac:dyDescent="0.2">
      <c r="B75" s="224" t="s">
        <v>298</v>
      </c>
      <c r="C75" s="222">
        <v>1725</v>
      </c>
      <c r="D75" s="222">
        <v>2552</v>
      </c>
      <c r="E75" s="223">
        <v>4120</v>
      </c>
      <c r="F75" s="176">
        <f>F105</f>
        <v>5389.5003514665341</v>
      </c>
      <c r="G75" s="176">
        <f t="shared" si="39"/>
        <v>7050.1733103053157</v>
      </c>
      <c r="H75" s="176">
        <f t="shared" si="39"/>
        <v>9222.5513431530289</v>
      </c>
      <c r="I75" s="176">
        <f t="shared" si="39"/>
        <v>12064.306724597429</v>
      </c>
      <c r="J75" s="176">
        <f t="shared" si="39"/>
        <v>15781.695469033477</v>
      </c>
      <c r="K75" s="176">
        <f t="shared" si="39"/>
        <v>20644.52749444023</v>
      </c>
    </row>
    <row r="76" spans="2:11" x14ac:dyDescent="0.2">
      <c r="B76" s="224" t="s">
        <v>299</v>
      </c>
      <c r="C76" s="222">
        <v>999</v>
      </c>
      <c r="D76" s="222">
        <v>0</v>
      </c>
      <c r="E76" s="223">
        <v>1250</v>
      </c>
      <c r="F76" s="219">
        <f>E76</f>
        <v>1250</v>
      </c>
      <c r="G76" s="219">
        <f t="shared" ref="G76:K76" si="40">F76</f>
        <v>1250</v>
      </c>
      <c r="H76" s="219">
        <f t="shared" si="40"/>
        <v>1250</v>
      </c>
      <c r="I76" s="219">
        <f t="shared" si="40"/>
        <v>1250</v>
      </c>
      <c r="J76" s="219">
        <f t="shared" si="40"/>
        <v>1250</v>
      </c>
      <c r="K76" s="219">
        <f t="shared" si="40"/>
        <v>1250</v>
      </c>
    </row>
    <row r="77" spans="2:11" x14ac:dyDescent="0.2">
      <c r="B77" s="225" t="s">
        <v>300</v>
      </c>
      <c r="C77" s="226">
        <f t="shared" ref="C77:K77" si="41">SUM(C74:C76)</f>
        <v>3925</v>
      </c>
      <c r="D77" s="226">
        <f t="shared" si="41"/>
        <v>4335</v>
      </c>
      <c r="E77" s="227">
        <f t="shared" si="41"/>
        <v>6563</v>
      </c>
      <c r="F77" s="226">
        <f t="shared" si="41"/>
        <v>8200.1008173159462</v>
      </c>
      <c r="G77" s="226">
        <f t="shared" si="41"/>
        <v>10341.643397488384</v>
      </c>
      <c r="H77" s="226">
        <f t="shared" si="41"/>
        <v>13143.061962663116</v>
      </c>
      <c r="I77" s="226">
        <f t="shared" si="41"/>
        <v>16807.684861113143</v>
      </c>
      <c r="J77" s="226">
        <f t="shared" si="41"/>
        <v>21601.492239557007</v>
      </c>
      <c r="K77" s="226">
        <f t="shared" si="41"/>
        <v>27872.42101406819</v>
      </c>
    </row>
    <row r="78" spans="2:11" x14ac:dyDescent="0.2">
      <c r="C78" s="176"/>
      <c r="D78" s="176"/>
      <c r="E78" s="216"/>
      <c r="F78" s="176"/>
      <c r="G78" s="176"/>
      <c r="H78" s="176"/>
      <c r="I78" s="176"/>
      <c r="J78" s="176"/>
      <c r="K78" s="176"/>
    </row>
    <row r="79" spans="2:11" x14ac:dyDescent="0.2">
      <c r="B79" s="224" t="s">
        <v>185</v>
      </c>
      <c r="C79" s="222">
        <v>5964</v>
      </c>
      <c r="D79" s="222">
        <v>10946</v>
      </c>
      <c r="E79" s="223">
        <v>9703</v>
      </c>
      <c r="F79" s="219">
        <f t="shared" ref="F79:K79" si="42">F192</f>
        <v>9703</v>
      </c>
      <c r="G79" s="219">
        <f t="shared" si="42"/>
        <v>9703</v>
      </c>
      <c r="H79" s="219">
        <f t="shared" si="42"/>
        <v>9703</v>
      </c>
      <c r="I79" s="219">
        <f t="shared" si="42"/>
        <v>9703</v>
      </c>
      <c r="J79" s="219">
        <f t="shared" si="42"/>
        <v>9703</v>
      </c>
      <c r="K79" s="219">
        <f t="shared" si="42"/>
        <v>9703</v>
      </c>
    </row>
    <row r="80" spans="2:11" x14ac:dyDescent="0.2">
      <c r="B80" s="224" t="s">
        <v>301</v>
      </c>
      <c r="C80" s="222">
        <v>634</v>
      </c>
      <c r="D80" s="222">
        <v>741</v>
      </c>
      <c r="E80" s="223">
        <v>902</v>
      </c>
      <c r="F80" s="219">
        <f>E80</f>
        <v>902</v>
      </c>
      <c r="G80" s="219">
        <f t="shared" ref="G80:K81" si="43">F80</f>
        <v>902</v>
      </c>
      <c r="H80" s="219">
        <f t="shared" si="43"/>
        <v>902</v>
      </c>
      <c r="I80" s="219">
        <f t="shared" si="43"/>
        <v>902</v>
      </c>
      <c r="J80" s="219">
        <f t="shared" si="43"/>
        <v>902</v>
      </c>
      <c r="K80" s="219">
        <f t="shared" si="43"/>
        <v>902</v>
      </c>
    </row>
    <row r="81" spans="2:11" x14ac:dyDescent="0.2">
      <c r="B81" s="224" t="s">
        <v>302</v>
      </c>
      <c r="C81" s="222">
        <v>1375</v>
      </c>
      <c r="D81" s="222">
        <v>1553</v>
      </c>
      <c r="E81" s="223">
        <v>1913</v>
      </c>
      <c r="F81" s="219">
        <f>E81</f>
        <v>1913</v>
      </c>
      <c r="G81" s="219">
        <f t="shared" si="43"/>
        <v>1913</v>
      </c>
      <c r="H81" s="219">
        <f t="shared" si="43"/>
        <v>1913</v>
      </c>
      <c r="I81" s="219">
        <f t="shared" si="43"/>
        <v>1913</v>
      </c>
      <c r="J81" s="219">
        <f t="shared" si="43"/>
        <v>1913</v>
      </c>
      <c r="K81" s="219">
        <f t="shared" si="43"/>
        <v>1913</v>
      </c>
    </row>
    <row r="82" spans="2:11" x14ac:dyDescent="0.2">
      <c r="B82" s="225" t="s">
        <v>303</v>
      </c>
      <c r="C82" s="195">
        <f>SUM(C77,C79:C81)</f>
        <v>11898</v>
      </c>
      <c r="D82" s="195">
        <f>SUM(D77,D79:D81)</f>
        <v>17575</v>
      </c>
      <c r="E82" s="221">
        <f>SUM(E77,E79:E81)</f>
        <v>19081</v>
      </c>
      <c r="F82" s="195">
        <f t="shared" ref="F82:K82" si="44">SUM(F74:F81)</f>
        <v>28918.201634631892</v>
      </c>
      <c r="G82" s="195">
        <f t="shared" si="44"/>
        <v>33201.286794976768</v>
      </c>
      <c r="H82" s="195">
        <f t="shared" si="44"/>
        <v>38804.123925326232</v>
      </c>
      <c r="I82" s="195">
        <f t="shared" si="44"/>
        <v>46133.369722226285</v>
      </c>
      <c r="J82" s="195">
        <f t="shared" si="44"/>
        <v>55720.984479114013</v>
      </c>
      <c r="K82" s="195">
        <f t="shared" si="44"/>
        <v>68262.84202813638</v>
      </c>
    </row>
    <row r="83" spans="2:11" x14ac:dyDescent="0.2">
      <c r="C83" s="176"/>
      <c r="D83" s="176"/>
      <c r="E83" s="216"/>
    </row>
    <row r="84" spans="2:11" x14ac:dyDescent="0.2">
      <c r="B84" s="228" t="s">
        <v>304</v>
      </c>
      <c r="C84" s="176"/>
      <c r="D84" s="176"/>
      <c r="E84" s="216"/>
    </row>
    <row r="85" spans="2:11" x14ac:dyDescent="0.2">
      <c r="B85" t="s">
        <v>60</v>
      </c>
      <c r="C85" s="219">
        <v>0</v>
      </c>
      <c r="D85" s="219">
        <v>0</v>
      </c>
      <c r="E85" s="220">
        <v>0</v>
      </c>
      <c r="F85" s="217"/>
      <c r="G85" s="217"/>
      <c r="H85" s="217"/>
      <c r="I85" s="217"/>
      <c r="J85" s="217"/>
      <c r="K85" s="217"/>
    </row>
    <row r="86" spans="2:11" x14ac:dyDescent="0.2">
      <c r="B86" t="s">
        <v>305</v>
      </c>
      <c r="C86" s="219">
        <v>1</v>
      </c>
      <c r="D86" s="219">
        <v>3</v>
      </c>
      <c r="E86" s="220">
        <v>2</v>
      </c>
      <c r="F86" s="217"/>
      <c r="G86" s="217"/>
      <c r="H86" s="217"/>
      <c r="I86" s="217"/>
      <c r="J86" s="217"/>
      <c r="K86" s="217"/>
    </row>
    <row r="87" spans="2:11" x14ac:dyDescent="0.2">
      <c r="B87" s="224" t="s">
        <v>306</v>
      </c>
      <c r="C87" s="222">
        <v>8721</v>
      </c>
      <c r="D87" s="222">
        <v>10385</v>
      </c>
      <c r="E87" s="223">
        <v>11971</v>
      </c>
      <c r="F87" s="217"/>
      <c r="G87" s="217"/>
      <c r="H87" s="217"/>
      <c r="I87" s="217"/>
      <c r="J87" s="217"/>
      <c r="K87" s="217"/>
    </row>
    <row r="88" spans="2:11" x14ac:dyDescent="0.2">
      <c r="B88" t="s">
        <v>307</v>
      </c>
      <c r="C88" s="219">
        <v>-10756</v>
      </c>
      <c r="D88" s="219">
        <v>0</v>
      </c>
      <c r="E88" s="220"/>
      <c r="F88" s="217"/>
      <c r="G88" s="217"/>
      <c r="H88" s="217"/>
      <c r="I88" s="217"/>
      <c r="J88" s="217"/>
      <c r="K88" s="217"/>
    </row>
    <row r="89" spans="2:11" x14ac:dyDescent="0.2">
      <c r="B89" t="s">
        <v>308</v>
      </c>
      <c r="C89" s="219">
        <v>19</v>
      </c>
      <c r="D89" s="219">
        <v>-11</v>
      </c>
      <c r="E89" s="220">
        <v>-43</v>
      </c>
      <c r="F89" s="217"/>
      <c r="G89" s="217"/>
      <c r="H89" s="217"/>
      <c r="I89" s="217"/>
      <c r="J89" s="217"/>
      <c r="K89" s="217"/>
    </row>
    <row r="90" spans="2:11" x14ac:dyDescent="0.2">
      <c r="B90" s="224" t="s">
        <v>309</v>
      </c>
      <c r="C90" s="222">
        <v>18908</v>
      </c>
      <c r="D90" s="222">
        <v>16235</v>
      </c>
      <c r="E90" s="223">
        <v>10171</v>
      </c>
      <c r="F90" s="217"/>
      <c r="G90" s="217"/>
      <c r="H90" s="217"/>
      <c r="I90" s="217"/>
      <c r="J90" s="217"/>
      <c r="K90" s="217"/>
    </row>
    <row r="91" spans="2:11" x14ac:dyDescent="0.2">
      <c r="B91" s="225" t="s">
        <v>310</v>
      </c>
      <c r="C91" s="229">
        <f t="shared" ref="C91:K91" si="45">C71-C82</f>
        <v>16893</v>
      </c>
      <c r="D91" s="229">
        <f t="shared" si="45"/>
        <v>26612</v>
      </c>
      <c r="E91" s="230">
        <f t="shared" si="45"/>
        <v>22101</v>
      </c>
      <c r="F91" s="231">
        <f t="shared" ca="1" si="45"/>
        <v>14319.529709447124</v>
      </c>
      <c r="G91" s="231">
        <f t="shared" ca="1" si="45"/>
        <v>15301.965361434501</v>
      </c>
      <c r="H91" s="231">
        <f t="shared" ca="1" si="45"/>
        <v>16642.705909924167</v>
      </c>
      <c r="I91" s="231">
        <f t="shared" ca="1" si="45"/>
        <v>18452.156255897149</v>
      </c>
      <c r="J91" s="231">
        <f t="shared" ca="1" si="45"/>
        <v>20874.740489800264</v>
      </c>
      <c r="K91" s="231">
        <f t="shared" ca="1" si="45"/>
        <v>28210.8312043716</v>
      </c>
    </row>
    <row r="92" spans="2:11" x14ac:dyDescent="0.2">
      <c r="B92" s="225" t="s">
        <v>311</v>
      </c>
      <c r="C92" s="195">
        <f t="shared" ref="C92" si="46">SUM(C91,C82)</f>
        <v>28791</v>
      </c>
      <c r="D92" s="195">
        <f>SUM(D91,D82)</f>
        <v>44187</v>
      </c>
      <c r="E92" s="221">
        <f>SUM(E91,E82)</f>
        <v>41182</v>
      </c>
      <c r="F92" s="232">
        <f t="shared" ref="F92:K92" ca="1" si="47">SUM(F91,F82)</f>
        <v>43237.731344079017</v>
      </c>
      <c r="G92" s="232">
        <f t="shared" ca="1" si="47"/>
        <v>48503.252156411269</v>
      </c>
      <c r="H92" s="232">
        <f t="shared" ca="1" si="47"/>
        <v>55446.829835250399</v>
      </c>
      <c r="I92" s="232">
        <f t="shared" ca="1" si="47"/>
        <v>64585.525978123434</v>
      </c>
      <c r="J92" s="232">
        <f t="shared" ca="1" si="47"/>
        <v>76595.724968914277</v>
      </c>
      <c r="K92" s="232">
        <f t="shared" ca="1" si="47"/>
        <v>96473.673232507979</v>
      </c>
    </row>
    <row r="93" spans="2:11" x14ac:dyDescent="0.2">
      <c r="E93" s="191"/>
    </row>
    <row r="94" spans="2:11" x14ac:dyDescent="0.2">
      <c r="B94" s="185" t="s">
        <v>193</v>
      </c>
      <c r="C94" s="233">
        <f t="shared" ref="C94:K94" si="48">C71-C92</f>
        <v>0</v>
      </c>
      <c r="D94" s="233">
        <f t="shared" si="48"/>
        <v>0</v>
      </c>
      <c r="E94" s="234">
        <f t="shared" si="48"/>
        <v>0</v>
      </c>
      <c r="F94" s="233">
        <f t="shared" ca="1" si="48"/>
        <v>0</v>
      </c>
      <c r="G94" s="233">
        <f t="shared" ca="1" si="48"/>
        <v>0</v>
      </c>
      <c r="H94" s="233">
        <f t="shared" ca="1" si="48"/>
        <v>0</v>
      </c>
      <c r="I94" s="233">
        <f t="shared" ca="1" si="48"/>
        <v>0</v>
      </c>
      <c r="J94" s="233">
        <f t="shared" ca="1" si="48"/>
        <v>0</v>
      </c>
      <c r="K94" s="233">
        <f t="shared" ca="1" si="48"/>
        <v>0</v>
      </c>
    </row>
    <row r="96" spans="2:11" ht="20" x14ac:dyDescent="0.25">
      <c r="B96" s="167" t="s">
        <v>312</v>
      </c>
      <c r="C96" s="235"/>
      <c r="D96" s="236"/>
      <c r="E96" s="236"/>
      <c r="F96" s="236"/>
      <c r="G96" s="236"/>
      <c r="H96" s="236"/>
      <c r="I96" s="236"/>
      <c r="J96" s="236"/>
      <c r="K96" s="236"/>
    </row>
    <row r="97" spans="2:13" x14ac:dyDescent="0.2">
      <c r="B97" s="172"/>
      <c r="C97" s="170">
        <f>EOMONTH(D97,-12)</f>
        <v>44227</v>
      </c>
      <c r="D97" s="170">
        <f>EOMONTH(E97,-12)</f>
        <v>44592</v>
      </c>
      <c r="E97" s="171">
        <f>$C$9</f>
        <v>44955</v>
      </c>
      <c r="F97" s="170">
        <f>EOMONTH(E97,12)</f>
        <v>45322</v>
      </c>
      <c r="G97" s="170">
        <f t="shared" ref="G97:K97" si="49">EOMONTH(F97,12)</f>
        <v>45688</v>
      </c>
      <c r="H97" s="170">
        <f t="shared" si="49"/>
        <v>46053</v>
      </c>
      <c r="I97" s="170">
        <f t="shared" si="49"/>
        <v>46418</v>
      </c>
      <c r="J97" s="170">
        <f t="shared" si="49"/>
        <v>46783</v>
      </c>
      <c r="K97" s="170">
        <f t="shared" si="49"/>
        <v>47149</v>
      </c>
      <c r="L97" s="172"/>
      <c r="M97" s="172"/>
    </row>
    <row r="98" spans="2:13" x14ac:dyDescent="0.2">
      <c r="B98" s="199" t="s">
        <v>313</v>
      </c>
      <c r="E98" s="191"/>
    </row>
    <row r="99" spans="2:13" x14ac:dyDescent="0.2">
      <c r="B99" s="237" t="s">
        <v>288</v>
      </c>
      <c r="C99" s="217">
        <f>C60</f>
        <v>2429</v>
      </c>
      <c r="D99" s="217">
        <f t="shared" ref="D99:E101" si="50">D60</f>
        <v>4650</v>
      </c>
      <c r="E99" s="238">
        <f t="shared" si="50"/>
        <v>3827</v>
      </c>
      <c r="F99" s="217">
        <f t="shared" ref="F99:K99" si="51">F112/365*F15</f>
        <v>5006.217923558841</v>
      </c>
      <c r="G99" s="217">
        <f t="shared" si="51"/>
        <v>6548.7896258588444</v>
      </c>
      <c r="H99" s="217">
        <f t="shared" si="51"/>
        <v>8566.6757257880199</v>
      </c>
      <c r="I99" s="217">
        <f t="shared" si="51"/>
        <v>11206.335396853001</v>
      </c>
      <c r="J99" s="217">
        <f t="shared" si="51"/>
        <v>14659.356446599786</v>
      </c>
      <c r="K99" s="217">
        <f t="shared" si="51"/>
        <v>19176.36085466572</v>
      </c>
    </row>
    <row r="100" spans="2:13" x14ac:dyDescent="0.2">
      <c r="B100" s="237" t="s">
        <v>167</v>
      </c>
      <c r="C100" s="217">
        <f>C61</f>
        <v>1826</v>
      </c>
      <c r="D100" s="217">
        <f t="shared" si="50"/>
        <v>2605</v>
      </c>
      <c r="E100" s="238">
        <f t="shared" si="50"/>
        <v>5159</v>
      </c>
      <c r="F100" s="217">
        <f t="shared" ref="F100:K100" si="52">F17/F113</f>
        <v>6748.6486197125841</v>
      </c>
      <c r="G100" s="217">
        <f t="shared" si="52"/>
        <v>8828.1175019090115</v>
      </c>
      <c r="H100" s="217">
        <f t="shared" si="52"/>
        <v>11548.335528962736</v>
      </c>
      <c r="I100" s="217">
        <f t="shared" si="52"/>
        <v>15106.737473834501</v>
      </c>
      <c r="J100" s="217">
        <f t="shared" si="52"/>
        <v>19761.593913772747</v>
      </c>
      <c r="K100" s="217">
        <f t="shared" si="52"/>
        <v>25850.756636848826</v>
      </c>
    </row>
    <row r="101" spans="2:13" x14ac:dyDescent="0.2">
      <c r="B101" s="237" t="s">
        <v>314</v>
      </c>
      <c r="C101" s="217">
        <f>C62</f>
        <v>239</v>
      </c>
      <c r="D101" s="217">
        <f t="shared" si="50"/>
        <v>366</v>
      </c>
      <c r="E101" s="239">
        <f t="shared" si="50"/>
        <v>791</v>
      </c>
      <c r="F101" s="217">
        <f t="shared" ref="F101:K101" si="53">F15*F114</f>
        <v>1034.7317422354438</v>
      </c>
      <c r="G101" s="217">
        <f t="shared" si="53"/>
        <v>1353.5648272940543</v>
      </c>
      <c r="H101" s="217">
        <f t="shared" si="53"/>
        <v>1770.640318551953</v>
      </c>
      <c r="I101" s="217">
        <f t="shared" si="53"/>
        <v>2316.2297619312058</v>
      </c>
      <c r="J101" s="217">
        <f t="shared" si="53"/>
        <v>3029.9323097100682</v>
      </c>
      <c r="K101" s="217">
        <f t="shared" si="53"/>
        <v>3963.5488466267529</v>
      </c>
    </row>
    <row r="102" spans="2:13" x14ac:dyDescent="0.2">
      <c r="B102" s="237" t="s">
        <v>315</v>
      </c>
      <c r="C102" s="240">
        <f>SUM(C99:C101)</f>
        <v>4494</v>
      </c>
      <c r="D102" s="240">
        <f t="shared" ref="D102:K102" si="54">SUM(D99:D101)</f>
        <v>7621</v>
      </c>
      <c r="E102" s="241">
        <f t="shared" si="54"/>
        <v>9777</v>
      </c>
      <c r="F102" s="240">
        <f t="shared" si="54"/>
        <v>12789.598285506871</v>
      </c>
      <c r="G102" s="240">
        <f t="shared" si="54"/>
        <v>16730.471955061912</v>
      </c>
      <c r="H102" s="240">
        <f t="shared" si="54"/>
        <v>21885.651573302708</v>
      </c>
      <c r="I102" s="240">
        <f t="shared" si="54"/>
        <v>28629.302632618706</v>
      </c>
      <c r="J102" s="240">
        <f t="shared" si="54"/>
        <v>37450.882670082603</v>
      </c>
      <c r="K102" s="240">
        <f t="shared" si="54"/>
        <v>48990.666338141302</v>
      </c>
    </row>
    <row r="103" spans="2:13" x14ac:dyDescent="0.2">
      <c r="B103" s="237"/>
      <c r="E103" s="191"/>
    </row>
    <row r="104" spans="2:13" x14ac:dyDescent="0.2">
      <c r="B104" s="237" t="s">
        <v>297</v>
      </c>
      <c r="C104" s="217">
        <f>C74</f>
        <v>1201</v>
      </c>
      <c r="D104" s="217">
        <f t="shared" ref="D104:E104" si="55">D74</f>
        <v>1783</v>
      </c>
      <c r="E104" s="238">
        <f t="shared" si="55"/>
        <v>1193</v>
      </c>
      <c r="F104" s="217">
        <f t="shared" ref="F104:K104" si="56">F116/365*F17</f>
        <v>1560.6004658494114</v>
      </c>
      <c r="G104" s="217">
        <f t="shared" si="56"/>
        <v>2041.4700871830682</v>
      </c>
      <c r="H104" s="217">
        <f t="shared" si="56"/>
        <v>2670.510619510088</v>
      </c>
      <c r="I104" s="217">
        <f t="shared" si="56"/>
        <v>3493.378136515712</v>
      </c>
      <c r="J104" s="217">
        <f t="shared" si="56"/>
        <v>4569.7967705235287</v>
      </c>
      <c r="K104" s="217">
        <f t="shared" si="56"/>
        <v>5977.8935196279599</v>
      </c>
    </row>
    <row r="105" spans="2:13" x14ac:dyDescent="0.2">
      <c r="B105" s="237" t="s">
        <v>316</v>
      </c>
      <c r="C105" s="217">
        <f t="shared" ref="C105:E105" si="57">C75</f>
        <v>1725</v>
      </c>
      <c r="D105" s="217">
        <f t="shared" si="57"/>
        <v>2552</v>
      </c>
      <c r="E105" s="238">
        <f t="shared" si="57"/>
        <v>4120</v>
      </c>
      <c r="F105" s="217">
        <f t="shared" ref="F105:K105" si="58">F17*F117</f>
        <v>5389.5003514665341</v>
      </c>
      <c r="G105" s="217">
        <f t="shared" si="58"/>
        <v>7050.1733103053157</v>
      </c>
      <c r="H105" s="217">
        <f t="shared" si="58"/>
        <v>9222.5513431530289</v>
      </c>
      <c r="I105" s="217">
        <f t="shared" si="58"/>
        <v>12064.306724597429</v>
      </c>
      <c r="J105" s="217">
        <f t="shared" si="58"/>
        <v>15781.695469033477</v>
      </c>
      <c r="K105" s="217">
        <f t="shared" si="58"/>
        <v>20644.52749444023</v>
      </c>
    </row>
    <row r="106" spans="2:13" x14ac:dyDescent="0.2">
      <c r="B106" s="237" t="s">
        <v>317</v>
      </c>
      <c r="C106" s="240">
        <f>SUM(C104:C105)</f>
        <v>2926</v>
      </c>
      <c r="D106" s="240">
        <f t="shared" ref="D106:K106" si="59">SUM(D104:D105)</f>
        <v>4335</v>
      </c>
      <c r="E106" s="241">
        <f t="shared" si="59"/>
        <v>5313</v>
      </c>
      <c r="F106" s="240">
        <f t="shared" si="59"/>
        <v>6950.1008173159453</v>
      </c>
      <c r="G106" s="240">
        <f t="shared" si="59"/>
        <v>9091.6433974883839</v>
      </c>
      <c r="H106" s="240">
        <f t="shared" si="59"/>
        <v>11893.061962663116</v>
      </c>
      <c r="I106" s="240">
        <f t="shared" si="59"/>
        <v>15557.684861113141</v>
      </c>
      <c r="J106" s="240">
        <f t="shared" si="59"/>
        <v>20351.492239557007</v>
      </c>
      <c r="K106" s="240">
        <f t="shared" si="59"/>
        <v>26622.42101406819</v>
      </c>
    </row>
    <row r="107" spans="2:13" x14ac:dyDescent="0.2">
      <c r="B107" s="237"/>
      <c r="E107" s="191"/>
    </row>
    <row r="108" spans="2:13" x14ac:dyDescent="0.2">
      <c r="B108" s="237" t="s">
        <v>318</v>
      </c>
      <c r="C108" s="217">
        <f>C102-C106</f>
        <v>1568</v>
      </c>
      <c r="D108" s="217">
        <f t="shared" ref="D108:K108" si="60">D102-D106</f>
        <v>3286</v>
      </c>
      <c r="E108" s="238">
        <f t="shared" si="60"/>
        <v>4464</v>
      </c>
      <c r="F108" s="217">
        <f t="shared" si="60"/>
        <v>5839.4974681909252</v>
      </c>
      <c r="G108" s="217">
        <f t="shared" si="60"/>
        <v>7638.8285575735281</v>
      </c>
      <c r="H108" s="217">
        <f t="shared" si="60"/>
        <v>9992.5896106395921</v>
      </c>
      <c r="I108" s="217">
        <f t="shared" si="60"/>
        <v>13071.617771505566</v>
      </c>
      <c r="J108" s="217">
        <f t="shared" si="60"/>
        <v>17099.390430525596</v>
      </c>
      <c r="K108" s="217">
        <f t="shared" si="60"/>
        <v>22368.245324073112</v>
      </c>
    </row>
    <row r="109" spans="2:13" x14ac:dyDescent="0.2">
      <c r="B109" s="242" t="s">
        <v>319</v>
      </c>
      <c r="C109" s="243"/>
      <c r="D109" s="232">
        <f>D108-C108</f>
        <v>1718</v>
      </c>
      <c r="E109" s="244">
        <f t="shared" ref="E109:K109" si="61">E108-D108</f>
        <v>1178</v>
      </c>
      <c r="F109" s="232">
        <f t="shared" si="61"/>
        <v>1375.4974681909252</v>
      </c>
      <c r="G109" s="232">
        <f t="shared" si="61"/>
        <v>1799.3310893826028</v>
      </c>
      <c r="H109" s="232">
        <f t="shared" si="61"/>
        <v>2353.7610530660641</v>
      </c>
      <c r="I109" s="232">
        <f t="shared" si="61"/>
        <v>3079.0281608659734</v>
      </c>
      <c r="J109" s="232">
        <f t="shared" si="61"/>
        <v>4027.7726590200309</v>
      </c>
      <c r="K109" s="232">
        <f t="shared" si="61"/>
        <v>5268.8548935475155</v>
      </c>
    </row>
    <row r="110" spans="2:13" x14ac:dyDescent="0.2">
      <c r="B110" s="237"/>
    </row>
    <row r="111" spans="2:13" x14ac:dyDescent="0.2">
      <c r="B111" s="245" t="s">
        <v>278</v>
      </c>
    </row>
    <row r="112" spans="2:13" x14ac:dyDescent="0.2">
      <c r="B112" s="237" t="s">
        <v>320</v>
      </c>
      <c r="C112" s="246">
        <f>C99/C15*365</f>
        <v>53.168515742128939</v>
      </c>
      <c r="D112" s="246">
        <f>D99/D15*365</f>
        <v>63.061975180203611</v>
      </c>
      <c r="E112" s="247">
        <f>E99/E15*365</f>
        <v>51.785237636242307</v>
      </c>
      <c r="F112" s="248">
        <f>E112</f>
        <v>51.785237636242307</v>
      </c>
      <c r="G112" s="248">
        <f t="shared" ref="G112:K114" si="62">F112</f>
        <v>51.785237636242307</v>
      </c>
      <c r="H112" s="248">
        <f t="shared" si="62"/>
        <v>51.785237636242307</v>
      </c>
      <c r="I112" s="248">
        <f t="shared" si="62"/>
        <v>51.785237636242307</v>
      </c>
      <c r="J112" s="248">
        <f t="shared" si="62"/>
        <v>51.785237636242307</v>
      </c>
      <c r="K112" s="248">
        <f t="shared" si="62"/>
        <v>51.785237636242307</v>
      </c>
    </row>
    <row r="113" spans="2:12" x14ac:dyDescent="0.2">
      <c r="B113" s="237" t="s">
        <v>321</v>
      </c>
      <c r="C113" s="249">
        <f>C17/C100</f>
        <v>2.8373493975903616</v>
      </c>
      <c r="D113" s="249">
        <f>D17/D100</f>
        <v>3.1727447216890594</v>
      </c>
      <c r="E113" s="250">
        <f>E17/E100</f>
        <v>1.9527040124055048</v>
      </c>
      <c r="F113" s="251">
        <f>E113</f>
        <v>1.9527040124055048</v>
      </c>
      <c r="G113" s="251">
        <f t="shared" si="62"/>
        <v>1.9527040124055048</v>
      </c>
      <c r="H113" s="251">
        <f t="shared" si="62"/>
        <v>1.9527040124055048</v>
      </c>
      <c r="I113" s="251">
        <f t="shared" si="62"/>
        <v>1.9527040124055048</v>
      </c>
      <c r="J113" s="251">
        <f t="shared" si="62"/>
        <v>1.9527040124055048</v>
      </c>
      <c r="K113" s="251">
        <f t="shared" si="62"/>
        <v>1.9527040124055048</v>
      </c>
    </row>
    <row r="114" spans="2:12" x14ac:dyDescent="0.2">
      <c r="B114" s="237" t="s">
        <v>322</v>
      </c>
      <c r="C114" s="252">
        <f>C101/C15</f>
        <v>1.4332833583208396E-2</v>
      </c>
      <c r="D114" s="252">
        <f>D101/D15</f>
        <v>1.359887047633202E-2</v>
      </c>
      <c r="E114" s="253">
        <f>E101/E15</f>
        <v>2.9324534737154295E-2</v>
      </c>
      <c r="F114" s="254">
        <f>E114</f>
        <v>2.9324534737154295E-2</v>
      </c>
      <c r="G114" s="254">
        <f t="shared" si="62"/>
        <v>2.9324534737154295E-2</v>
      </c>
      <c r="H114" s="254">
        <f t="shared" si="62"/>
        <v>2.9324534737154295E-2</v>
      </c>
      <c r="I114" s="254">
        <f t="shared" si="62"/>
        <v>2.9324534737154295E-2</v>
      </c>
      <c r="J114" s="254">
        <f t="shared" si="62"/>
        <v>2.9324534737154295E-2</v>
      </c>
      <c r="K114" s="254">
        <f t="shared" si="62"/>
        <v>2.9324534737154295E-2</v>
      </c>
      <c r="L114" s="252"/>
    </row>
    <row r="115" spans="2:12" x14ac:dyDescent="0.2">
      <c r="B115" s="237"/>
      <c r="E115" s="191"/>
    </row>
    <row r="116" spans="2:12" x14ac:dyDescent="0.2">
      <c r="B116" s="237" t="s">
        <v>323</v>
      </c>
      <c r="C116" s="246">
        <f>C104/C17*365</f>
        <v>84.6101138776298</v>
      </c>
      <c r="D116" s="246">
        <f>D104/D17*365</f>
        <v>78.741076830006051</v>
      </c>
      <c r="E116" s="247">
        <f>E104/E17*365</f>
        <v>43.224637681159422</v>
      </c>
      <c r="F116" s="248">
        <f>E116</f>
        <v>43.224637681159422</v>
      </c>
      <c r="G116" s="248">
        <f t="shared" ref="G116:K117" si="63">F116</f>
        <v>43.224637681159422</v>
      </c>
      <c r="H116" s="248">
        <f t="shared" si="63"/>
        <v>43.224637681159422</v>
      </c>
      <c r="I116" s="248">
        <f t="shared" si="63"/>
        <v>43.224637681159422</v>
      </c>
      <c r="J116" s="248">
        <f t="shared" si="63"/>
        <v>43.224637681159422</v>
      </c>
      <c r="K116" s="248">
        <f t="shared" si="63"/>
        <v>43.224637681159422</v>
      </c>
    </row>
    <row r="117" spans="2:12" x14ac:dyDescent="0.2">
      <c r="B117" s="237" t="s">
        <v>324</v>
      </c>
      <c r="C117" s="252">
        <f>C105/C17</f>
        <v>0.33294730746960044</v>
      </c>
      <c r="D117" s="252">
        <f>D105/D17</f>
        <v>0.30877192982456142</v>
      </c>
      <c r="E117" s="253">
        <f>E105/E17</f>
        <v>0.40897359539408379</v>
      </c>
      <c r="F117" s="254">
        <f>E117</f>
        <v>0.40897359539408379</v>
      </c>
      <c r="G117" s="254">
        <f t="shared" si="63"/>
        <v>0.40897359539408379</v>
      </c>
      <c r="H117" s="254">
        <f t="shared" si="63"/>
        <v>0.40897359539408379</v>
      </c>
      <c r="I117" s="254">
        <f t="shared" si="63"/>
        <v>0.40897359539408379</v>
      </c>
      <c r="J117" s="254">
        <f t="shared" si="63"/>
        <v>0.40897359539408379</v>
      </c>
      <c r="K117" s="254">
        <f t="shared" si="63"/>
        <v>0.40897359539408379</v>
      </c>
    </row>
    <row r="119" spans="2:12" ht="20" x14ac:dyDescent="0.25">
      <c r="B119" s="167" t="s">
        <v>325</v>
      </c>
      <c r="C119" s="161"/>
      <c r="D119" s="161"/>
      <c r="E119" s="161"/>
      <c r="F119" s="161"/>
      <c r="G119" s="161"/>
      <c r="H119" s="161"/>
      <c r="I119" s="161"/>
      <c r="J119" s="161"/>
      <c r="K119" s="161"/>
    </row>
    <row r="120" spans="2:12" x14ac:dyDescent="0.2">
      <c r="C120" s="170">
        <f>EOMONTH(D120,-12)</f>
        <v>44227</v>
      </c>
      <c r="D120" s="170">
        <f>EOMONTH(E120,-12)</f>
        <v>44592</v>
      </c>
      <c r="E120" s="171">
        <f>$C$9</f>
        <v>44955</v>
      </c>
      <c r="F120" s="170">
        <f>EOMONTH(E120,12)</f>
        <v>45322</v>
      </c>
      <c r="G120" s="170">
        <f t="shared" ref="G120:K120" si="64">EOMONTH(F120,12)</f>
        <v>45688</v>
      </c>
      <c r="H120" s="170">
        <f t="shared" si="64"/>
        <v>46053</v>
      </c>
      <c r="I120" s="170">
        <f t="shared" si="64"/>
        <v>46418</v>
      </c>
      <c r="J120" s="170">
        <f t="shared" si="64"/>
        <v>46783</v>
      </c>
      <c r="K120" s="170">
        <f t="shared" si="64"/>
        <v>47149</v>
      </c>
    </row>
    <row r="121" spans="2:12" x14ac:dyDescent="0.2">
      <c r="B121" s="237" t="s">
        <v>326</v>
      </c>
      <c r="C121" s="207"/>
      <c r="D121" s="255"/>
      <c r="E121" s="241">
        <f>D65</f>
        <v>2778</v>
      </c>
      <c r="F121" s="176">
        <f>E124</f>
        <v>3807</v>
      </c>
      <c r="G121" s="176">
        <f t="shared" ref="G121:K121" si="65">F124</f>
        <v>5476.133058572148</v>
      </c>
      <c r="H121" s="176">
        <f t="shared" si="65"/>
        <v>7499.7802013493583</v>
      </c>
      <c r="I121" s="176">
        <f t="shared" si="65"/>
        <v>9987.178261947689</v>
      </c>
      <c r="J121" s="176">
        <f t="shared" si="65"/>
        <v>13081.223345504724</v>
      </c>
      <c r="K121" s="176">
        <f t="shared" si="65"/>
        <v>16968.842298831678</v>
      </c>
    </row>
    <row r="122" spans="2:12" x14ac:dyDescent="0.2">
      <c r="B122" s="237" t="s">
        <v>82</v>
      </c>
      <c r="C122" s="207"/>
      <c r="D122" s="207"/>
      <c r="E122" s="201">
        <f>-E29</f>
        <v>-845</v>
      </c>
      <c r="F122" s="176">
        <f>-F274</f>
        <v>-782.30472265316394</v>
      </c>
      <c r="G122" s="176">
        <f t="shared" ref="G122:K122" si="66">-G274</f>
        <v>-1183.1549891432173</v>
      </c>
      <c r="H122" s="176">
        <f t="shared" si="66"/>
        <v>-1707.519710534867</v>
      </c>
      <c r="I122" s="176">
        <f t="shared" si="66"/>
        <v>-2393.4575382622816</v>
      </c>
      <c r="J122" s="176">
        <f t="shared" si="66"/>
        <v>-3290.7541799178866</v>
      </c>
      <c r="K122" s="176">
        <f t="shared" si="66"/>
        <v>-4464.5358705908538</v>
      </c>
    </row>
    <row r="123" spans="2:12" x14ac:dyDescent="0.2">
      <c r="B123" s="237" t="s">
        <v>97</v>
      </c>
      <c r="C123" s="207"/>
      <c r="D123" s="207"/>
      <c r="E123" s="238">
        <f>E124-SUM(E121:E122)</f>
        <v>1874</v>
      </c>
      <c r="F123" s="176">
        <f t="shared" ref="F123:K123" si="67">F15*F134</f>
        <v>2451.4377812253119</v>
      </c>
      <c r="G123" s="176">
        <f t="shared" si="67"/>
        <v>3206.8021319204272</v>
      </c>
      <c r="H123" s="176">
        <f t="shared" si="67"/>
        <v>4194.9177711331977</v>
      </c>
      <c r="I123" s="176">
        <f t="shared" si="67"/>
        <v>5487.5026218193161</v>
      </c>
      <c r="J123" s="176">
        <f t="shared" si="67"/>
        <v>7178.3731332448397</v>
      </c>
      <c r="K123" s="176">
        <f t="shared" si="67"/>
        <v>9390.2535253837359</v>
      </c>
    </row>
    <row r="124" spans="2:12" x14ac:dyDescent="0.2">
      <c r="B124" s="242" t="s">
        <v>327</v>
      </c>
      <c r="C124" s="243"/>
      <c r="D124" s="256"/>
      <c r="E124" s="244">
        <f>E65</f>
        <v>3807</v>
      </c>
      <c r="F124" s="195">
        <f>SUM(F121:F123)</f>
        <v>5476.133058572148</v>
      </c>
      <c r="G124" s="195">
        <f t="shared" ref="G124:K124" si="68">SUM(G121:G123)</f>
        <v>7499.7802013493583</v>
      </c>
      <c r="H124" s="195">
        <f t="shared" si="68"/>
        <v>9987.178261947689</v>
      </c>
      <c r="I124" s="195">
        <f t="shared" si="68"/>
        <v>13081.223345504724</v>
      </c>
      <c r="J124" s="195">
        <f t="shared" si="68"/>
        <v>16968.842298831678</v>
      </c>
      <c r="K124" s="195">
        <f t="shared" si="68"/>
        <v>21894.559953624557</v>
      </c>
    </row>
    <row r="125" spans="2:12" x14ac:dyDescent="0.2">
      <c r="B125" s="237"/>
      <c r="C125" s="207"/>
      <c r="D125" s="207"/>
      <c r="E125" s="191"/>
      <c r="F125" s="176"/>
      <c r="G125" s="176"/>
      <c r="H125" s="176"/>
      <c r="I125" s="176"/>
      <c r="J125" s="176"/>
      <c r="K125" s="176"/>
    </row>
    <row r="126" spans="2:12" x14ac:dyDescent="0.2">
      <c r="B126" s="237" t="s">
        <v>328</v>
      </c>
      <c r="C126" s="207"/>
      <c r="D126" s="207"/>
      <c r="E126" s="238">
        <f>D68</f>
        <v>2339</v>
      </c>
      <c r="F126" s="176">
        <f>E129</f>
        <v>1676</v>
      </c>
      <c r="G126" s="176">
        <f t="shared" ref="G126:K126" si="69">F129</f>
        <v>977</v>
      </c>
      <c r="H126" s="176">
        <f t="shared" si="69"/>
        <v>278</v>
      </c>
      <c r="I126" s="176">
        <f t="shared" si="69"/>
        <v>-421</v>
      </c>
      <c r="J126" s="176">
        <f t="shared" si="69"/>
        <v>-1120</v>
      </c>
      <c r="K126" s="176">
        <f t="shared" si="69"/>
        <v>-1819</v>
      </c>
    </row>
    <row r="127" spans="2:12" x14ac:dyDescent="0.2">
      <c r="B127" s="237" t="s">
        <v>83</v>
      </c>
      <c r="C127" s="207"/>
      <c r="D127" s="207"/>
      <c r="E127" s="201">
        <f>-E30</f>
        <v>-699</v>
      </c>
      <c r="F127" s="219">
        <f>E127</f>
        <v>-699</v>
      </c>
      <c r="G127" s="219">
        <f t="shared" ref="G127:K127" si="70">F127</f>
        <v>-699</v>
      </c>
      <c r="H127" s="219">
        <f t="shared" si="70"/>
        <v>-699</v>
      </c>
      <c r="I127" s="219">
        <f t="shared" si="70"/>
        <v>-699</v>
      </c>
      <c r="J127" s="219">
        <f t="shared" si="70"/>
        <v>-699</v>
      </c>
      <c r="K127" s="219">
        <f t="shared" si="70"/>
        <v>-699</v>
      </c>
    </row>
    <row r="128" spans="2:12" x14ac:dyDescent="0.2">
      <c r="B128" s="237" t="s">
        <v>214</v>
      </c>
      <c r="C128" s="207"/>
      <c r="D128" s="207"/>
      <c r="E128" s="238">
        <f>E129-SUM(E126:E127)</f>
        <v>36</v>
      </c>
      <c r="F128" s="217">
        <v>0</v>
      </c>
      <c r="G128" s="217">
        <v>0</v>
      </c>
      <c r="H128" s="217">
        <v>0</v>
      </c>
      <c r="I128" s="217">
        <v>0</v>
      </c>
      <c r="J128" s="217">
        <v>0</v>
      </c>
      <c r="K128" s="217">
        <v>0</v>
      </c>
    </row>
    <row r="129" spans="2:11" x14ac:dyDescent="0.2">
      <c r="B129" s="242" t="s">
        <v>329</v>
      </c>
      <c r="C129" s="243"/>
      <c r="D129" s="243"/>
      <c r="E129" s="244">
        <f>E68</f>
        <v>1676</v>
      </c>
      <c r="F129" s="195">
        <f>SUM(F126:F128)</f>
        <v>977</v>
      </c>
      <c r="G129" s="195">
        <f t="shared" ref="G129:K129" si="71">SUM(G126:G128)</f>
        <v>278</v>
      </c>
      <c r="H129" s="195">
        <f t="shared" si="71"/>
        <v>-421</v>
      </c>
      <c r="I129" s="195">
        <f t="shared" si="71"/>
        <v>-1120</v>
      </c>
      <c r="J129" s="195">
        <f t="shared" si="71"/>
        <v>-1819</v>
      </c>
      <c r="K129" s="195">
        <f t="shared" si="71"/>
        <v>-2518</v>
      </c>
    </row>
    <row r="130" spans="2:11" x14ac:dyDescent="0.2">
      <c r="B130" s="237"/>
      <c r="C130" s="207"/>
      <c r="D130" s="207"/>
      <c r="E130" s="191"/>
      <c r="F130" s="176"/>
      <c r="G130" s="176"/>
      <c r="H130" s="176"/>
      <c r="I130" s="176"/>
      <c r="J130" s="176"/>
      <c r="K130" s="176"/>
    </row>
    <row r="131" spans="2:11" x14ac:dyDescent="0.2">
      <c r="B131" s="237" t="s">
        <v>175</v>
      </c>
      <c r="C131" s="207"/>
      <c r="D131" s="207"/>
      <c r="E131" s="238">
        <f>E67</f>
        <v>4372</v>
      </c>
      <c r="F131" s="219">
        <f>E131</f>
        <v>4372</v>
      </c>
      <c r="G131" s="219">
        <f t="shared" ref="G131:K131" si="72">F131</f>
        <v>4372</v>
      </c>
      <c r="H131" s="219">
        <f t="shared" si="72"/>
        <v>4372</v>
      </c>
      <c r="I131" s="219">
        <f t="shared" si="72"/>
        <v>4372</v>
      </c>
      <c r="J131" s="219">
        <f t="shared" si="72"/>
        <v>4372</v>
      </c>
      <c r="K131" s="219">
        <f t="shared" si="72"/>
        <v>4372</v>
      </c>
    </row>
    <row r="132" spans="2:11" x14ac:dyDescent="0.2">
      <c r="B132" s="237"/>
      <c r="C132" s="207"/>
      <c r="D132" s="207"/>
      <c r="F132" s="217"/>
      <c r="G132" s="217"/>
      <c r="H132" s="217"/>
      <c r="I132" s="217"/>
      <c r="J132" s="217"/>
      <c r="K132" s="217"/>
    </row>
    <row r="133" spans="2:11" x14ac:dyDescent="0.2">
      <c r="B133" s="245" t="s">
        <v>278</v>
      </c>
      <c r="C133" s="207"/>
      <c r="D133" s="207"/>
      <c r="F133" s="217"/>
      <c r="G133" s="217"/>
      <c r="H133" s="217"/>
      <c r="I133" s="217"/>
      <c r="J133" s="217"/>
      <c r="K133" s="217"/>
    </row>
    <row r="134" spans="2:11" x14ac:dyDescent="0.2">
      <c r="B134" s="237" t="s">
        <v>330</v>
      </c>
      <c r="C134" s="207"/>
      <c r="D134" s="207"/>
      <c r="E134" s="257">
        <f>E123/E15</f>
        <v>6.9474308593460363E-2</v>
      </c>
      <c r="F134" s="258">
        <f>E134</f>
        <v>6.9474308593460363E-2</v>
      </c>
      <c r="G134" s="258">
        <f t="shared" ref="G134:K135" si="73">F134</f>
        <v>6.9474308593460363E-2</v>
      </c>
      <c r="H134" s="258">
        <f t="shared" si="73"/>
        <v>6.9474308593460363E-2</v>
      </c>
      <c r="I134" s="258">
        <f t="shared" si="73"/>
        <v>6.9474308593460363E-2</v>
      </c>
      <c r="J134" s="258">
        <f t="shared" si="73"/>
        <v>6.9474308593460363E-2</v>
      </c>
      <c r="K134" s="258">
        <f t="shared" si="73"/>
        <v>6.9474308593460363E-2</v>
      </c>
    </row>
    <row r="135" spans="2:11" x14ac:dyDescent="0.2">
      <c r="B135" s="237" t="s">
        <v>331</v>
      </c>
      <c r="C135" s="207"/>
      <c r="D135" s="207"/>
      <c r="E135" s="257">
        <f>-E122/E123</f>
        <v>0.45090715048025615</v>
      </c>
      <c r="F135" s="259">
        <f>E135</f>
        <v>0.45090715048025615</v>
      </c>
      <c r="G135" s="259">
        <f t="shared" si="73"/>
        <v>0.45090715048025615</v>
      </c>
      <c r="H135" s="259">
        <f t="shared" si="73"/>
        <v>0.45090715048025615</v>
      </c>
      <c r="I135" s="259">
        <f t="shared" si="73"/>
        <v>0.45090715048025615</v>
      </c>
      <c r="J135" s="259">
        <f t="shared" si="73"/>
        <v>0.45090715048025615</v>
      </c>
      <c r="K135" s="259">
        <f t="shared" si="73"/>
        <v>0.45090715048025615</v>
      </c>
    </row>
    <row r="137" spans="2:11" ht="20" x14ac:dyDescent="0.25">
      <c r="B137" s="167" t="s">
        <v>90</v>
      </c>
      <c r="C137" s="161"/>
      <c r="D137" s="161"/>
      <c r="E137" s="161"/>
      <c r="F137" s="161"/>
      <c r="G137" s="161"/>
      <c r="H137" s="161"/>
      <c r="I137" s="161"/>
      <c r="J137" s="161"/>
      <c r="K137" s="161"/>
    </row>
    <row r="138" spans="2:11" x14ac:dyDescent="0.2">
      <c r="C138" s="170">
        <f>EOMONTH(D138,-12)</f>
        <v>44227</v>
      </c>
      <c r="D138" s="170">
        <f>EOMONTH(E138,-12)</f>
        <v>44592</v>
      </c>
      <c r="E138" s="171">
        <f>$C$9</f>
        <v>44955</v>
      </c>
      <c r="F138" s="170">
        <f>EOMONTH(E138,12)</f>
        <v>45322</v>
      </c>
      <c r="G138" s="170">
        <f t="shared" ref="G138:K138" si="74">EOMONTH(F138,12)</f>
        <v>45688</v>
      </c>
      <c r="H138" s="170">
        <f t="shared" si="74"/>
        <v>46053</v>
      </c>
      <c r="I138" s="170">
        <f t="shared" si="74"/>
        <v>46418</v>
      </c>
      <c r="J138" s="170">
        <f t="shared" si="74"/>
        <v>46783</v>
      </c>
      <c r="K138" s="170">
        <f t="shared" si="74"/>
        <v>47149</v>
      </c>
    </row>
    <row r="139" spans="2:11" x14ac:dyDescent="0.2">
      <c r="B139" s="237" t="s">
        <v>89</v>
      </c>
      <c r="C139" s="255"/>
      <c r="D139" s="255"/>
      <c r="E139" s="260"/>
      <c r="F139" s="261">
        <f t="shared" ref="F139:K139" ca="1" si="75">F39</f>
        <v>7941.2390510462756</v>
      </c>
      <c r="G139" s="261">
        <f t="shared" ca="1" si="75"/>
        <v>10477.458327549519</v>
      </c>
      <c r="H139" s="261">
        <f t="shared" ca="1" si="75"/>
        <v>13824.853165595321</v>
      </c>
      <c r="I139" s="261">
        <f t="shared" ca="1" si="75"/>
        <v>18236.707106834721</v>
      </c>
      <c r="J139" s="261">
        <f t="shared" ca="1" si="75"/>
        <v>24041.3282175817</v>
      </c>
      <c r="K139" s="261">
        <f t="shared" ca="1" si="75"/>
        <v>31657.3999475499</v>
      </c>
    </row>
    <row r="140" spans="2:11" x14ac:dyDescent="0.2">
      <c r="B140" s="237" t="s">
        <v>82</v>
      </c>
      <c r="C140" s="262"/>
      <c r="D140" s="262"/>
      <c r="E140" s="263"/>
      <c r="F140" s="261">
        <f t="shared" ref="F140:K141" si="76">F29</f>
        <v>782.30472265316394</v>
      </c>
      <c r="G140" s="261">
        <f t="shared" si="76"/>
        <v>1183.1549891432173</v>
      </c>
      <c r="H140" s="261">
        <f t="shared" si="76"/>
        <v>1707.519710534867</v>
      </c>
      <c r="I140" s="261">
        <f t="shared" si="76"/>
        <v>2393.4575382622816</v>
      </c>
      <c r="J140" s="261">
        <f t="shared" si="76"/>
        <v>3290.7541799178866</v>
      </c>
      <c r="K140" s="261">
        <f t="shared" si="76"/>
        <v>4464.5358705908538</v>
      </c>
    </row>
    <row r="141" spans="2:11" x14ac:dyDescent="0.2">
      <c r="B141" s="237" t="s">
        <v>83</v>
      </c>
      <c r="C141" s="255"/>
      <c r="D141" s="255"/>
      <c r="E141" s="264"/>
      <c r="F141" s="261">
        <f t="shared" si="76"/>
        <v>699</v>
      </c>
      <c r="G141" s="261">
        <f t="shared" si="76"/>
        <v>699</v>
      </c>
      <c r="H141" s="261">
        <f t="shared" si="76"/>
        <v>699</v>
      </c>
      <c r="I141" s="261">
        <f t="shared" si="76"/>
        <v>699</v>
      </c>
      <c r="J141" s="261">
        <f t="shared" si="76"/>
        <v>699</v>
      </c>
      <c r="K141" s="261">
        <f t="shared" si="76"/>
        <v>699</v>
      </c>
    </row>
    <row r="142" spans="2:11" x14ac:dyDescent="0.2">
      <c r="B142" s="237" t="s">
        <v>332</v>
      </c>
      <c r="C142" s="262"/>
      <c r="D142" s="262"/>
      <c r="E142" s="263"/>
      <c r="F142" s="176">
        <f>-F109</f>
        <v>-1375.4974681909252</v>
      </c>
      <c r="G142" s="176">
        <f t="shared" ref="G142:K142" si="77">-G109</f>
        <v>-1799.3310893826028</v>
      </c>
      <c r="H142" s="176">
        <f t="shared" si="77"/>
        <v>-2353.7610530660641</v>
      </c>
      <c r="I142" s="176">
        <f t="shared" si="77"/>
        <v>-3079.0281608659734</v>
      </c>
      <c r="J142" s="176">
        <f t="shared" si="77"/>
        <v>-4027.7726590200309</v>
      </c>
      <c r="K142" s="176">
        <f t="shared" si="77"/>
        <v>-5268.8548935475155</v>
      </c>
    </row>
    <row r="143" spans="2:11" x14ac:dyDescent="0.2">
      <c r="B143" s="242" t="s">
        <v>96</v>
      </c>
      <c r="C143" s="265"/>
      <c r="D143" s="265"/>
      <c r="E143" s="266"/>
      <c r="F143" s="267">
        <f ca="1">SUM(F139:F142)</f>
        <v>8047.0463055085138</v>
      </c>
      <c r="G143" s="195">
        <f t="shared" ref="G143:K143" ca="1" si="78">SUM(G139:G142)</f>
        <v>10560.282227310134</v>
      </c>
      <c r="H143" s="195">
        <f t="shared" ca="1" si="78"/>
        <v>13877.611823064124</v>
      </c>
      <c r="I143" s="195">
        <f t="shared" ca="1" si="78"/>
        <v>18250.136484231029</v>
      </c>
      <c r="J143" s="195">
        <f t="shared" ca="1" si="78"/>
        <v>24003.309738479555</v>
      </c>
      <c r="K143" s="195">
        <f t="shared" ca="1" si="78"/>
        <v>31552.080924593236</v>
      </c>
    </row>
    <row r="144" spans="2:11" x14ac:dyDescent="0.2">
      <c r="B144" s="237"/>
      <c r="C144" s="262"/>
      <c r="D144" s="262"/>
      <c r="E144" s="263"/>
      <c r="F144" s="176"/>
      <c r="G144" s="176"/>
      <c r="H144" s="176"/>
      <c r="I144" s="176"/>
      <c r="J144" s="176"/>
      <c r="K144" s="176"/>
    </row>
    <row r="145" spans="2:11" x14ac:dyDescent="0.2">
      <c r="B145" s="237" t="s">
        <v>97</v>
      </c>
      <c r="C145" s="262"/>
      <c r="D145" s="262"/>
      <c r="E145" s="263"/>
      <c r="F145" s="176">
        <f>-F123</f>
        <v>-2451.4377812253119</v>
      </c>
      <c r="G145" s="176">
        <f t="shared" ref="G145:K145" si="79">-G123</f>
        <v>-3206.8021319204272</v>
      </c>
      <c r="H145" s="176">
        <f t="shared" si="79"/>
        <v>-4194.9177711331977</v>
      </c>
      <c r="I145" s="176">
        <f t="shared" si="79"/>
        <v>-5487.5026218193161</v>
      </c>
      <c r="J145" s="176">
        <f t="shared" si="79"/>
        <v>-7178.3731332448397</v>
      </c>
      <c r="K145" s="176">
        <f t="shared" si="79"/>
        <v>-9390.2535253837359</v>
      </c>
    </row>
    <row r="146" spans="2:11" x14ac:dyDescent="0.2">
      <c r="B146" s="242" t="s">
        <v>98</v>
      </c>
      <c r="C146" s="265"/>
      <c r="D146" s="265"/>
      <c r="E146" s="266"/>
      <c r="F146" s="267">
        <f>F145</f>
        <v>-2451.4377812253119</v>
      </c>
      <c r="G146" s="195">
        <f t="shared" ref="G146:K146" si="80">G145</f>
        <v>-3206.8021319204272</v>
      </c>
      <c r="H146" s="195">
        <f t="shared" si="80"/>
        <v>-4194.9177711331977</v>
      </c>
      <c r="I146" s="195">
        <f t="shared" si="80"/>
        <v>-5487.5026218193161</v>
      </c>
      <c r="J146" s="195">
        <f t="shared" si="80"/>
        <v>-7178.3731332448397</v>
      </c>
      <c r="K146" s="195">
        <f t="shared" si="80"/>
        <v>-9390.2535253837359</v>
      </c>
    </row>
    <row r="147" spans="2:11" x14ac:dyDescent="0.2">
      <c r="B147" s="237"/>
      <c r="C147" s="262"/>
      <c r="D147" s="262"/>
      <c r="E147" s="263"/>
      <c r="F147" s="176"/>
      <c r="G147" s="176"/>
      <c r="H147" s="176"/>
      <c r="I147" s="176"/>
      <c r="J147" s="176"/>
      <c r="K147" s="176"/>
    </row>
    <row r="148" spans="2:11" x14ac:dyDescent="0.2">
      <c r="B148" s="237" t="s">
        <v>333</v>
      </c>
      <c r="C148" s="255"/>
      <c r="D148" s="255"/>
      <c r="E148" s="264"/>
      <c r="F148" s="176">
        <f t="shared" ref="F148:K148" ca="1" si="81">F197</f>
        <v>4277.9750705694587</v>
      </c>
      <c r="G148" s="176">
        <f t="shared" ca="1" si="81"/>
        <v>3640.1967394007488</v>
      </c>
      <c r="H148" s="176">
        <f t="shared" ca="1" si="81"/>
        <v>1615.9880817474018</v>
      </c>
      <c r="I148" s="176">
        <f t="shared" ca="1" si="81"/>
        <v>-1061.9558796918823</v>
      </c>
      <c r="J148" s="176">
        <f t="shared" ca="1" si="81"/>
        <v>-4595.357706288396</v>
      </c>
      <c r="K148" s="176">
        <f t="shared" ca="1" si="81"/>
        <v>-5126.8463057373319</v>
      </c>
    </row>
    <row r="149" spans="2:11" x14ac:dyDescent="0.2">
      <c r="B149" s="237" t="s">
        <v>334</v>
      </c>
      <c r="C149" s="262"/>
      <c r="D149" s="262"/>
      <c r="E149" s="263"/>
      <c r="F149" s="176">
        <f t="shared" ref="F149:K149" si="82">F191</f>
        <v>54</v>
      </c>
      <c r="G149" s="176">
        <f t="shared" si="82"/>
        <v>220</v>
      </c>
      <c r="H149" s="176">
        <f t="shared" si="82"/>
        <v>198</v>
      </c>
      <c r="I149" s="176">
        <f t="shared" si="82"/>
        <v>180</v>
      </c>
      <c r="J149" s="176">
        <f t="shared" si="82"/>
        <v>166</v>
      </c>
      <c r="K149" s="176">
        <f t="shared" si="82"/>
        <v>144</v>
      </c>
    </row>
    <row r="150" spans="2:11" x14ac:dyDescent="0.2">
      <c r="B150" s="237" t="s">
        <v>335</v>
      </c>
      <c r="C150" s="262"/>
      <c r="D150" s="262"/>
      <c r="E150" s="263"/>
      <c r="F150" s="176">
        <f t="shared" ref="F150:K150" si="83">F190</f>
        <v>-54</v>
      </c>
      <c r="G150" s="176">
        <f t="shared" si="83"/>
        <v>-220</v>
      </c>
      <c r="H150" s="176">
        <f t="shared" si="83"/>
        <v>-198</v>
      </c>
      <c r="I150" s="176">
        <f t="shared" si="83"/>
        <v>-180</v>
      </c>
      <c r="J150" s="176">
        <f t="shared" si="83"/>
        <v>-166</v>
      </c>
      <c r="K150" s="176">
        <f t="shared" si="83"/>
        <v>-144</v>
      </c>
    </row>
    <row r="151" spans="2:11" x14ac:dyDescent="0.2">
      <c r="B151" s="237" t="s">
        <v>336</v>
      </c>
      <c r="C151" s="262"/>
      <c r="D151" s="262"/>
      <c r="E151" s="263"/>
      <c r="F151" s="176">
        <f>F165</f>
        <v>-10039</v>
      </c>
      <c r="G151" s="176">
        <f t="shared" ref="G151:K152" si="84">G165</f>
        <v>-10039</v>
      </c>
      <c r="H151" s="176">
        <f t="shared" si="84"/>
        <v>-10039</v>
      </c>
      <c r="I151" s="176">
        <f t="shared" si="84"/>
        <v>-10039</v>
      </c>
      <c r="J151" s="176">
        <f t="shared" si="84"/>
        <v>-10039</v>
      </c>
      <c r="K151" s="176">
        <f t="shared" si="84"/>
        <v>-10039</v>
      </c>
    </row>
    <row r="152" spans="2:11" x14ac:dyDescent="0.2">
      <c r="B152" s="237" t="s">
        <v>337</v>
      </c>
      <c r="C152" s="262"/>
      <c r="D152" s="262"/>
      <c r="E152" s="263"/>
      <c r="F152" s="176">
        <f ca="1">F166</f>
        <v>-723.58359485265964</v>
      </c>
      <c r="G152" s="176">
        <f t="shared" ca="1" si="84"/>
        <v>-954.67683479045525</v>
      </c>
      <c r="H152" s="176">
        <f t="shared" ca="1" si="84"/>
        <v>-1259.6821336783282</v>
      </c>
      <c r="I152" s="176">
        <f t="shared" ca="1" si="84"/>
        <v>-1661.6779827198302</v>
      </c>
      <c r="J152" s="176">
        <f t="shared" ca="1" si="84"/>
        <v>-2190.5788989463176</v>
      </c>
      <c r="K152" s="176">
        <f t="shared" ca="1" si="84"/>
        <v>-2884.5341527300502</v>
      </c>
    </row>
    <row r="153" spans="2:11" x14ac:dyDescent="0.2">
      <c r="B153" s="237" t="s">
        <v>338</v>
      </c>
      <c r="C153" s="262"/>
      <c r="D153" s="262"/>
      <c r="E153" s="263"/>
      <c r="F153" s="176"/>
      <c r="G153" s="176"/>
      <c r="H153" s="176"/>
      <c r="I153" s="176"/>
      <c r="J153" s="176"/>
      <c r="K153" s="176"/>
    </row>
    <row r="154" spans="2:11" x14ac:dyDescent="0.2">
      <c r="B154" s="242" t="s">
        <v>103</v>
      </c>
      <c r="C154" s="262"/>
      <c r="D154" s="262"/>
      <c r="E154" s="262"/>
      <c r="F154" s="268">
        <f ca="1">SUM(F148:F153)</f>
        <v>-6484.6085242832014</v>
      </c>
      <c r="G154" s="269">
        <f t="shared" ref="G154:K154" ca="1" si="85">SUM(G148:G153)</f>
        <v>-7353.4800953897065</v>
      </c>
      <c r="H154" s="269">
        <f t="shared" ca="1" si="85"/>
        <v>-9682.6940519309264</v>
      </c>
      <c r="I154" s="269">
        <f t="shared" ca="1" si="85"/>
        <v>-12762.633862411712</v>
      </c>
      <c r="J154" s="269">
        <f t="shared" ca="1" si="85"/>
        <v>-16824.936605234714</v>
      </c>
      <c r="K154" s="269">
        <f t="shared" ca="1" si="85"/>
        <v>-18050.380458467382</v>
      </c>
    </row>
    <row r="155" spans="2:11" x14ac:dyDescent="0.2">
      <c r="B155" s="237"/>
      <c r="C155" s="262"/>
      <c r="D155" s="262"/>
      <c r="E155" s="263"/>
      <c r="F155" s="176"/>
      <c r="G155" s="176"/>
      <c r="H155" s="176"/>
      <c r="I155" s="176"/>
      <c r="J155" s="176"/>
      <c r="K155" s="176"/>
    </row>
    <row r="156" spans="2:11" x14ac:dyDescent="0.2">
      <c r="B156" s="237" t="s">
        <v>109</v>
      </c>
      <c r="C156" s="270"/>
      <c r="D156" s="270"/>
      <c r="E156" s="271"/>
      <c r="F156" s="176">
        <f>E58</f>
        <v>3389</v>
      </c>
      <c r="G156" s="176">
        <f ca="1">F158</f>
        <v>2500</v>
      </c>
      <c r="H156" s="176">
        <f t="shared" ref="H156:K156" ca="1" si="86">G158</f>
        <v>2500</v>
      </c>
      <c r="I156" s="176">
        <f t="shared" ca="1" si="86"/>
        <v>2500</v>
      </c>
      <c r="J156" s="176">
        <f t="shared" ca="1" si="86"/>
        <v>2500</v>
      </c>
      <c r="K156" s="176">
        <f t="shared" ca="1" si="86"/>
        <v>2500</v>
      </c>
    </row>
    <row r="157" spans="2:11" x14ac:dyDescent="0.2">
      <c r="B157" s="237" t="s">
        <v>105</v>
      </c>
      <c r="C157" s="262"/>
      <c r="D157" s="262"/>
      <c r="E157" s="263"/>
      <c r="F157" s="176">
        <f ca="1">SUM(F143,F146,F154)</f>
        <v>-889</v>
      </c>
      <c r="G157" s="176">
        <f ca="1">SUM(G143,G146,G154)</f>
        <v>0</v>
      </c>
      <c r="H157" s="176">
        <f t="shared" ref="H157:K157" ca="1" si="87">SUM(H143,H146,H154)</f>
        <v>0</v>
      </c>
      <c r="I157" s="176">
        <f t="shared" ca="1" si="87"/>
        <v>0</v>
      </c>
      <c r="J157" s="176">
        <f t="shared" ca="1" si="87"/>
        <v>0</v>
      </c>
      <c r="K157" s="176">
        <f t="shared" ca="1" si="87"/>
        <v>4111.4469407421166</v>
      </c>
    </row>
    <row r="158" spans="2:11" x14ac:dyDescent="0.2">
      <c r="B158" s="237" t="s">
        <v>339</v>
      </c>
      <c r="C158" s="272"/>
      <c r="D158" s="272"/>
      <c r="E158" s="273"/>
      <c r="F158" s="268">
        <f ca="1">SUM(F157,F156)</f>
        <v>2500</v>
      </c>
      <c r="G158" s="269">
        <f t="shared" ref="G158:K158" ca="1" si="88">SUM(G157,G156)</f>
        <v>2500</v>
      </c>
      <c r="H158" s="269">
        <f t="shared" ca="1" si="88"/>
        <v>2500</v>
      </c>
      <c r="I158" s="269">
        <f t="shared" ca="1" si="88"/>
        <v>2500</v>
      </c>
      <c r="J158" s="269">
        <f t="shared" ca="1" si="88"/>
        <v>2500</v>
      </c>
      <c r="K158" s="269">
        <f t="shared" ca="1" si="88"/>
        <v>6611.4469407421166</v>
      </c>
    </row>
    <row r="159" spans="2:11" x14ac:dyDescent="0.2">
      <c r="B159" s="224"/>
      <c r="C159" s="274"/>
      <c r="D159" s="274"/>
      <c r="E159" s="274"/>
      <c r="F159" s="217"/>
      <c r="G159" s="217"/>
      <c r="H159" s="217"/>
      <c r="I159" s="217"/>
      <c r="J159" s="217"/>
      <c r="K159" s="217"/>
    </row>
    <row r="160" spans="2:11" ht="20" x14ac:dyDescent="0.2">
      <c r="B160" s="275" t="s">
        <v>340</v>
      </c>
      <c r="C160" s="276"/>
      <c r="D160" s="276"/>
      <c r="E160" s="276"/>
      <c r="F160" s="277"/>
      <c r="G160" s="277"/>
      <c r="H160" s="277"/>
      <c r="I160" s="277"/>
      <c r="J160" s="277"/>
      <c r="K160" s="277"/>
    </row>
    <row r="161" spans="2:12" x14ac:dyDescent="0.2">
      <c r="B161" s="224"/>
      <c r="C161" s="170">
        <f>EOMONTH(D161,-12)</f>
        <v>44227</v>
      </c>
      <c r="D161" s="170">
        <f>EOMONTH(E161,-12)</f>
        <v>44592</v>
      </c>
      <c r="E161" s="171">
        <f>$C$9</f>
        <v>44955</v>
      </c>
      <c r="F161" s="170">
        <f>EOMONTH(E161,12)</f>
        <v>45322</v>
      </c>
      <c r="G161" s="170">
        <f t="shared" ref="G161:K161" si="89">EOMONTH(F161,12)</f>
        <v>45688</v>
      </c>
      <c r="H161" s="170">
        <f t="shared" si="89"/>
        <v>46053</v>
      </c>
      <c r="I161" s="170">
        <f t="shared" si="89"/>
        <v>46418</v>
      </c>
      <c r="J161" s="170">
        <f t="shared" si="89"/>
        <v>46783</v>
      </c>
      <c r="K161" s="170">
        <f t="shared" si="89"/>
        <v>47149</v>
      </c>
    </row>
    <row r="162" spans="2:12" x14ac:dyDescent="0.2">
      <c r="B162" s="278" t="s">
        <v>341</v>
      </c>
      <c r="C162" s="262"/>
      <c r="D162" s="262"/>
      <c r="E162" s="266"/>
      <c r="F162" s="217"/>
      <c r="G162" s="217"/>
      <c r="H162" s="217"/>
      <c r="I162" s="217"/>
      <c r="J162" s="217"/>
      <c r="K162" s="217"/>
    </row>
    <row r="163" spans="2:12" x14ac:dyDescent="0.2">
      <c r="B163" s="237" t="s">
        <v>342</v>
      </c>
      <c r="C163" s="255"/>
      <c r="D163" s="255"/>
      <c r="E163" s="264"/>
      <c r="F163" s="176">
        <f>E91</f>
        <v>22101</v>
      </c>
      <c r="G163" s="176">
        <f ca="1">F168</f>
        <v>19279.655456193617</v>
      </c>
      <c r="H163" s="176">
        <f t="shared" ref="H163:K163" ca="1" si="90">G168</f>
        <v>18763.436948952683</v>
      </c>
      <c r="I163" s="176">
        <f t="shared" ca="1" si="90"/>
        <v>21289.607980869678</v>
      </c>
      <c r="J163" s="176">
        <f t="shared" ca="1" si="90"/>
        <v>27825.637104984566</v>
      </c>
      <c r="K163" s="176">
        <f t="shared" ca="1" si="90"/>
        <v>39637.386423619944</v>
      </c>
    </row>
    <row r="164" spans="2:12" x14ac:dyDescent="0.2">
      <c r="B164" s="237" t="s">
        <v>343</v>
      </c>
      <c r="C164" s="262"/>
      <c r="D164" s="262"/>
      <c r="E164" s="263"/>
      <c r="F164" s="176">
        <f t="shared" ref="F164:K164" ca="1" si="91">F39</f>
        <v>7941.2390510462756</v>
      </c>
      <c r="G164" s="176">
        <f t="shared" ca="1" si="91"/>
        <v>10477.458327549519</v>
      </c>
      <c r="H164" s="176">
        <f t="shared" ca="1" si="91"/>
        <v>13824.853165595321</v>
      </c>
      <c r="I164" s="176">
        <f t="shared" ca="1" si="91"/>
        <v>18236.707106834721</v>
      </c>
      <c r="J164" s="176">
        <f t="shared" ca="1" si="91"/>
        <v>24041.3282175817</v>
      </c>
      <c r="K164" s="176">
        <f t="shared" ca="1" si="91"/>
        <v>31657.3999475499</v>
      </c>
    </row>
    <row r="165" spans="2:12" x14ac:dyDescent="0.2">
      <c r="B165" s="237" t="s">
        <v>336</v>
      </c>
      <c r="C165" s="255"/>
      <c r="D165" s="255"/>
      <c r="E165" s="264"/>
      <c r="F165" s="219">
        <v>-10039</v>
      </c>
      <c r="G165" s="176">
        <f>F165</f>
        <v>-10039</v>
      </c>
      <c r="H165" s="176">
        <f t="shared" ref="H165:K165" si="92">G165</f>
        <v>-10039</v>
      </c>
      <c r="I165" s="176">
        <f t="shared" si="92"/>
        <v>-10039</v>
      </c>
      <c r="J165" s="176">
        <f t="shared" si="92"/>
        <v>-10039</v>
      </c>
      <c r="K165" s="176">
        <f t="shared" si="92"/>
        <v>-10039</v>
      </c>
    </row>
    <row r="166" spans="2:12" x14ac:dyDescent="0.2">
      <c r="B166" s="237" t="s">
        <v>337</v>
      </c>
      <c r="C166" s="262"/>
      <c r="D166" s="262"/>
      <c r="E166" s="263"/>
      <c r="F166" s="176">
        <f ca="1">-F172</f>
        <v>-723.58359485265964</v>
      </c>
      <c r="G166" s="176">
        <f t="shared" ref="G166:K166" ca="1" si="93">-G172</f>
        <v>-954.67683479045525</v>
      </c>
      <c r="H166" s="176">
        <f t="shared" ca="1" si="93"/>
        <v>-1259.6821336783282</v>
      </c>
      <c r="I166" s="176">
        <f t="shared" ca="1" si="93"/>
        <v>-1661.6779827198302</v>
      </c>
      <c r="J166" s="176">
        <f t="shared" ca="1" si="93"/>
        <v>-2190.5788989463176</v>
      </c>
      <c r="K166" s="176">
        <f t="shared" ca="1" si="93"/>
        <v>-2884.5341527300502</v>
      </c>
    </row>
    <row r="167" spans="2:12" x14ac:dyDescent="0.2">
      <c r="B167" s="237" t="s">
        <v>338</v>
      </c>
      <c r="C167" s="255"/>
      <c r="D167" s="255"/>
      <c r="E167" s="264"/>
      <c r="F167" s="176"/>
      <c r="G167" s="176"/>
      <c r="H167" s="176"/>
      <c r="I167" s="176"/>
      <c r="J167" s="176"/>
      <c r="K167" s="176"/>
    </row>
    <row r="168" spans="2:12" x14ac:dyDescent="0.2">
      <c r="B168" s="242" t="s">
        <v>344</v>
      </c>
      <c r="C168" s="265"/>
      <c r="D168" s="265"/>
      <c r="E168" s="266"/>
      <c r="F168" s="267">
        <f ca="1">SUM(F163:F167)</f>
        <v>19279.655456193617</v>
      </c>
      <c r="G168" s="195">
        <f t="shared" ref="G168:K168" ca="1" si="94">SUM(G163:G167)</f>
        <v>18763.436948952683</v>
      </c>
      <c r="H168" s="195">
        <f t="shared" ca="1" si="94"/>
        <v>21289.607980869678</v>
      </c>
      <c r="I168" s="195">
        <f t="shared" ca="1" si="94"/>
        <v>27825.637104984566</v>
      </c>
      <c r="J168" s="195">
        <f t="shared" ca="1" si="94"/>
        <v>39637.386423619944</v>
      </c>
      <c r="K168" s="195">
        <f t="shared" ca="1" si="94"/>
        <v>58371.252218439797</v>
      </c>
    </row>
    <row r="169" spans="2:12" x14ac:dyDescent="0.2">
      <c r="B169" s="237"/>
      <c r="C169" s="274"/>
      <c r="D169" s="274"/>
      <c r="E169" s="279"/>
      <c r="F169" s="217"/>
      <c r="G169" s="217"/>
      <c r="H169" s="217"/>
      <c r="I169" s="217"/>
      <c r="J169" s="217"/>
      <c r="K169" s="217"/>
    </row>
    <row r="170" spans="2:12" x14ac:dyDescent="0.2">
      <c r="B170" s="278" t="s">
        <v>337</v>
      </c>
      <c r="C170" s="274"/>
      <c r="D170" s="274"/>
      <c r="E170" s="279"/>
      <c r="F170" s="217"/>
      <c r="G170" s="217"/>
      <c r="H170" s="217"/>
      <c r="I170" s="217"/>
      <c r="J170" s="217"/>
      <c r="K170" s="217"/>
    </row>
    <row r="171" spans="2:12" x14ac:dyDescent="0.2">
      <c r="B171" s="237" t="s">
        <v>345</v>
      </c>
      <c r="C171" s="280">
        <f>C172/C39</f>
        <v>9.1181902123730382E-2</v>
      </c>
      <c r="D171" s="280">
        <f>D172/D39</f>
        <v>4.0914684167350286E-2</v>
      </c>
      <c r="E171" s="281">
        <f>E172/E39</f>
        <v>9.1117216117216113E-2</v>
      </c>
      <c r="F171" s="258">
        <f>E171</f>
        <v>9.1117216117216113E-2</v>
      </c>
      <c r="G171" s="258">
        <f t="shared" ref="G171:K171" si="95">F171</f>
        <v>9.1117216117216113E-2</v>
      </c>
      <c r="H171" s="258">
        <f t="shared" si="95"/>
        <v>9.1117216117216113E-2</v>
      </c>
      <c r="I171" s="258">
        <f t="shared" si="95"/>
        <v>9.1117216117216113E-2</v>
      </c>
      <c r="J171" s="258">
        <f t="shared" si="95"/>
        <v>9.1117216117216113E-2</v>
      </c>
      <c r="K171" s="258">
        <f t="shared" si="95"/>
        <v>9.1117216117216113E-2</v>
      </c>
    </row>
    <row r="172" spans="2:12" x14ac:dyDescent="0.2">
      <c r="B172" s="237" t="s">
        <v>337</v>
      </c>
      <c r="C172" s="282">
        <v>395</v>
      </c>
      <c r="D172" s="282">
        <v>399</v>
      </c>
      <c r="E172" s="283">
        <v>398</v>
      </c>
      <c r="F172" s="217">
        <f ca="1">F39*F171</f>
        <v>723.58359485265964</v>
      </c>
      <c r="G172" s="217">
        <f t="shared" ref="G172:K172" ca="1" si="96">G39*G171</f>
        <v>954.67683479045525</v>
      </c>
      <c r="H172" s="217">
        <f t="shared" ca="1" si="96"/>
        <v>1259.6821336783282</v>
      </c>
      <c r="I172" s="217">
        <f t="shared" ca="1" si="96"/>
        <v>1661.6779827198302</v>
      </c>
      <c r="J172" s="217">
        <f t="shared" ca="1" si="96"/>
        <v>2190.5788989463176</v>
      </c>
      <c r="K172" s="217">
        <f t="shared" ca="1" si="96"/>
        <v>2884.5341527300502</v>
      </c>
    </row>
    <row r="173" spans="2:12" x14ac:dyDescent="0.2">
      <c r="B173" s="237"/>
      <c r="C173" s="217"/>
      <c r="D173" s="217"/>
      <c r="E173" s="238"/>
      <c r="F173" s="217"/>
      <c r="G173" s="217"/>
      <c r="H173" s="217"/>
      <c r="I173" s="217"/>
      <c r="J173" s="217"/>
      <c r="K173" s="217"/>
    </row>
    <row r="174" spans="2:12" x14ac:dyDescent="0.2">
      <c r="B174" s="278" t="s">
        <v>338</v>
      </c>
      <c r="C174" s="274"/>
      <c r="D174" s="274"/>
      <c r="E174" s="279"/>
      <c r="F174" s="217"/>
      <c r="G174" s="217"/>
      <c r="H174" s="217"/>
      <c r="I174" s="217"/>
      <c r="J174" s="217"/>
      <c r="K174" s="217"/>
      <c r="L174" s="377" t="s">
        <v>346</v>
      </c>
    </row>
    <row r="175" spans="2:12" x14ac:dyDescent="0.2">
      <c r="B175" s="237" t="s">
        <v>347</v>
      </c>
      <c r="C175" s="261"/>
      <c r="D175" s="261"/>
      <c r="E175" s="284"/>
      <c r="F175" s="176"/>
      <c r="G175" s="176"/>
      <c r="H175" s="176"/>
      <c r="I175" s="176"/>
      <c r="J175" s="176"/>
      <c r="K175" s="176"/>
      <c r="L175" s="285">
        <f ca="1">E175+$L$175</f>
        <v>0</v>
      </c>
    </row>
    <row r="176" spans="2:12" x14ac:dyDescent="0.2">
      <c r="B176" s="237" t="s">
        <v>338</v>
      </c>
      <c r="C176" s="222"/>
      <c r="D176" s="222"/>
      <c r="E176" s="223"/>
      <c r="F176" s="176"/>
      <c r="G176" s="176"/>
      <c r="H176" s="176"/>
      <c r="I176" s="176"/>
      <c r="J176" s="176"/>
      <c r="K176" s="176"/>
    </row>
    <row r="177" spans="2:11" x14ac:dyDescent="0.2">
      <c r="B177" s="224"/>
      <c r="C177" s="274"/>
      <c r="D177" s="274"/>
      <c r="E177" s="274"/>
      <c r="F177" s="217"/>
      <c r="G177" s="217"/>
      <c r="H177" s="217"/>
      <c r="I177" s="217"/>
      <c r="J177" s="217"/>
      <c r="K177" s="217"/>
    </row>
    <row r="178" spans="2:11" ht="20" x14ac:dyDescent="0.2">
      <c r="B178" s="275" t="s">
        <v>348</v>
      </c>
      <c r="C178" s="276"/>
      <c r="D178" s="276"/>
      <c r="E178" s="276"/>
      <c r="F178" s="277"/>
      <c r="G178" s="277"/>
      <c r="H178" s="277"/>
      <c r="I178" s="277"/>
      <c r="J178" s="277"/>
      <c r="K178" s="277"/>
    </row>
    <row r="179" spans="2:11" x14ac:dyDescent="0.2">
      <c r="B179" s="228"/>
      <c r="C179" s="170">
        <f>EOMONTH(D179,-12)</f>
        <v>44227</v>
      </c>
      <c r="D179" s="170">
        <f>EOMONTH(E179,-12)</f>
        <v>44592</v>
      </c>
      <c r="E179" s="171">
        <f>$C$9</f>
        <v>44955</v>
      </c>
      <c r="F179" s="170">
        <f>EOMONTH(E179,12)</f>
        <v>45322</v>
      </c>
      <c r="G179" s="170">
        <f t="shared" ref="G179:K179" si="97">EOMONTH(F179,12)</f>
        <v>45688</v>
      </c>
      <c r="H179" s="170">
        <f t="shared" si="97"/>
        <v>46053</v>
      </c>
      <c r="I179" s="170">
        <f t="shared" si="97"/>
        <v>46418</v>
      </c>
      <c r="J179" s="170">
        <f t="shared" si="97"/>
        <v>46783</v>
      </c>
      <c r="K179" s="170">
        <f t="shared" si="97"/>
        <v>47149</v>
      </c>
    </row>
    <row r="180" spans="2:11" x14ac:dyDescent="0.2">
      <c r="B180" s="237" t="s">
        <v>349</v>
      </c>
      <c r="C180" s="262"/>
      <c r="D180" s="262"/>
      <c r="E180" s="263"/>
      <c r="F180" s="176">
        <f ca="1">F143+F146</f>
        <v>5595.6085242832014</v>
      </c>
      <c r="G180" s="176">
        <f t="shared" ref="G180:K180" ca="1" si="98">G143+G146</f>
        <v>7353.4800953897065</v>
      </c>
      <c r="H180" s="176">
        <f t="shared" ca="1" si="98"/>
        <v>9682.6940519309264</v>
      </c>
      <c r="I180" s="176">
        <f t="shared" ca="1" si="98"/>
        <v>12762.633862411712</v>
      </c>
      <c r="J180" s="176">
        <f t="shared" ca="1" si="98"/>
        <v>16824.936605234714</v>
      </c>
      <c r="K180" s="176">
        <f t="shared" ca="1" si="98"/>
        <v>22161.827399209498</v>
      </c>
    </row>
    <row r="181" spans="2:11" x14ac:dyDescent="0.2">
      <c r="B181" s="286" t="s">
        <v>350</v>
      </c>
      <c r="C181" s="262"/>
      <c r="D181" s="262"/>
      <c r="E181" s="263"/>
      <c r="F181" s="176">
        <f>F165</f>
        <v>-10039</v>
      </c>
      <c r="G181" s="176">
        <f t="shared" ref="G181:K182" si="99">G165</f>
        <v>-10039</v>
      </c>
      <c r="H181" s="176">
        <f t="shared" si="99"/>
        <v>-10039</v>
      </c>
      <c r="I181" s="176">
        <f t="shared" si="99"/>
        <v>-10039</v>
      </c>
      <c r="J181" s="176">
        <f t="shared" si="99"/>
        <v>-10039</v>
      </c>
      <c r="K181" s="176">
        <f t="shared" si="99"/>
        <v>-10039</v>
      </c>
    </row>
    <row r="182" spans="2:11" x14ac:dyDescent="0.2">
      <c r="B182" s="286" t="s">
        <v>337</v>
      </c>
      <c r="C182" s="207"/>
      <c r="D182" s="207"/>
      <c r="E182" s="209"/>
      <c r="F182" s="176">
        <f ca="1">F166</f>
        <v>-723.58359485265964</v>
      </c>
      <c r="G182" s="176">
        <f t="shared" ca="1" si="99"/>
        <v>-954.67683479045525</v>
      </c>
      <c r="H182" s="176">
        <f t="shared" ca="1" si="99"/>
        <v>-1259.6821336783282</v>
      </c>
      <c r="I182" s="176">
        <f t="shared" ca="1" si="99"/>
        <v>-1661.6779827198302</v>
      </c>
      <c r="J182" s="176">
        <f t="shared" ca="1" si="99"/>
        <v>-2190.5788989463176</v>
      </c>
      <c r="K182" s="176">
        <f t="shared" ca="1" si="99"/>
        <v>-2884.5341527300502</v>
      </c>
    </row>
    <row r="183" spans="2:11" x14ac:dyDescent="0.2">
      <c r="B183" s="286" t="s">
        <v>351</v>
      </c>
      <c r="C183" s="207"/>
      <c r="D183" s="207"/>
      <c r="E183" s="209"/>
      <c r="F183" s="176"/>
      <c r="G183" s="176"/>
      <c r="H183" s="176"/>
      <c r="I183" s="176"/>
      <c r="J183" s="176"/>
      <c r="K183" s="176"/>
    </row>
    <row r="184" spans="2:11" x14ac:dyDescent="0.2">
      <c r="B184" s="286" t="s">
        <v>352</v>
      </c>
      <c r="C184" s="207"/>
      <c r="D184" s="207"/>
      <c r="E184" s="209"/>
      <c r="F184" s="176">
        <f>E58</f>
        <v>3389</v>
      </c>
      <c r="G184" s="176">
        <f t="shared" ref="G184:K184" ca="1" si="100">F58</f>
        <v>2500</v>
      </c>
      <c r="H184" s="176">
        <f t="shared" ca="1" si="100"/>
        <v>2500</v>
      </c>
      <c r="I184" s="176">
        <f t="shared" ca="1" si="100"/>
        <v>2500</v>
      </c>
      <c r="J184" s="176">
        <f t="shared" ca="1" si="100"/>
        <v>2500</v>
      </c>
      <c r="K184" s="176">
        <f t="shared" ca="1" si="100"/>
        <v>2500</v>
      </c>
    </row>
    <row r="185" spans="2:11" x14ac:dyDescent="0.2">
      <c r="B185" s="286" t="s">
        <v>353</v>
      </c>
      <c r="C185" s="207"/>
      <c r="D185" s="207"/>
      <c r="E185" s="209"/>
      <c r="F185" s="219">
        <v>-2500</v>
      </c>
      <c r="G185" s="176">
        <v>-2500</v>
      </c>
      <c r="H185" s="176">
        <v>-2500</v>
      </c>
      <c r="I185" s="176">
        <v>-2500</v>
      </c>
      <c r="J185" s="176">
        <v>-2500</v>
      </c>
      <c r="K185" s="176">
        <v>-2500</v>
      </c>
    </row>
    <row r="186" spans="2:11" x14ac:dyDescent="0.2">
      <c r="B186" s="242" t="s">
        <v>354</v>
      </c>
      <c r="C186" s="243"/>
      <c r="D186" s="243"/>
      <c r="E186" s="287"/>
      <c r="F186" s="269">
        <f ca="1">SUM(F180:F185)</f>
        <v>-4277.9750705694587</v>
      </c>
      <c r="G186" s="269">
        <f ca="1">SUM(G180:G185)</f>
        <v>-3640.1967394007488</v>
      </c>
      <c r="H186" s="269">
        <f ca="1">SUM(H180:H185)</f>
        <v>-1615.9880817474018</v>
      </c>
      <c r="I186" s="269">
        <f t="shared" ref="I186:K186" ca="1" si="101">SUM(I180:I185)</f>
        <v>1061.9558796918823</v>
      </c>
      <c r="J186" s="269">
        <f t="shared" ca="1" si="101"/>
        <v>4595.357706288396</v>
      </c>
      <c r="K186" s="269">
        <f t="shared" ca="1" si="101"/>
        <v>9238.2932464794485</v>
      </c>
    </row>
    <row r="187" spans="2:11" x14ac:dyDescent="0.2">
      <c r="B187" s="237"/>
      <c r="C187" s="207"/>
      <c r="D187" s="207"/>
      <c r="E187" s="209"/>
      <c r="F187" s="176"/>
      <c r="G187" s="176"/>
      <c r="H187" s="176"/>
      <c r="I187" s="176"/>
      <c r="J187" s="176"/>
      <c r="K187" s="176"/>
    </row>
    <row r="188" spans="2:11" x14ac:dyDescent="0.2">
      <c r="B188" s="278" t="s">
        <v>185</v>
      </c>
      <c r="C188" s="207"/>
      <c r="D188" s="207"/>
      <c r="E188" s="209"/>
      <c r="F188" s="176"/>
      <c r="G188" s="176"/>
      <c r="H188" s="176"/>
      <c r="I188" s="176"/>
      <c r="J188" s="176"/>
      <c r="K188" s="176"/>
    </row>
    <row r="189" spans="2:11" x14ac:dyDescent="0.2">
      <c r="B189" s="237" t="s">
        <v>113</v>
      </c>
      <c r="C189" s="207"/>
      <c r="D189" s="207"/>
      <c r="E189" s="209"/>
      <c r="F189" s="176">
        <f>E79</f>
        <v>9703</v>
      </c>
      <c r="G189" s="176">
        <f t="shared" ref="G189:K189" si="102">F79</f>
        <v>9703</v>
      </c>
      <c r="H189" s="176">
        <f t="shared" si="102"/>
        <v>9703</v>
      </c>
      <c r="I189" s="176">
        <f t="shared" si="102"/>
        <v>9703</v>
      </c>
      <c r="J189" s="176">
        <f t="shared" si="102"/>
        <v>9703</v>
      </c>
      <c r="K189" s="176">
        <f t="shared" si="102"/>
        <v>9703</v>
      </c>
    </row>
    <row r="190" spans="2:11" x14ac:dyDescent="0.2">
      <c r="B190" s="237" t="s">
        <v>355</v>
      </c>
      <c r="C190" s="207"/>
      <c r="D190" s="207"/>
      <c r="E190" s="209"/>
      <c r="F190" s="219">
        <v>-54</v>
      </c>
      <c r="G190" s="219">
        <v>-220</v>
      </c>
      <c r="H190" s="219">
        <v>-198</v>
      </c>
      <c r="I190" s="219">
        <v>-180</v>
      </c>
      <c r="J190" s="219">
        <v>-166</v>
      </c>
      <c r="K190" s="219">
        <v>-144</v>
      </c>
    </row>
    <row r="191" spans="2:11" x14ac:dyDescent="0.2">
      <c r="B191" s="237" t="s">
        <v>356</v>
      </c>
      <c r="C191" s="207"/>
      <c r="D191" s="207"/>
      <c r="E191" s="209"/>
      <c r="F191" s="176">
        <f>-F190</f>
        <v>54</v>
      </c>
      <c r="G191" s="176">
        <f t="shared" ref="G191:K191" si="103">-G190</f>
        <v>220</v>
      </c>
      <c r="H191" s="176">
        <f t="shared" si="103"/>
        <v>198</v>
      </c>
      <c r="I191" s="176">
        <f t="shared" si="103"/>
        <v>180</v>
      </c>
      <c r="J191" s="176">
        <f t="shared" si="103"/>
        <v>166</v>
      </c>
      <c r="K191" s="176">
        <f t="shared" si="103"/>
        <v>144</v>
      </c>
    </row>
    <row r="192" spans="2:11" x14ac:dyDescent="0.2">
      <c r="B192" s="237" t="s">
        <v>115</v>
      </c>
      <c r="C192" s="243"/>
      <c r="D192" s="243"/>
      <c r="E192" s="243"/>
      <c r="F192" s="268">
        <f>SUM(F189:F191)</f>
        <v>9703</v>
      </c>
      <c r="G192" s="269">
        <f t="shared" ref="G192:K192" si="104">SUM(G189:G191)</f>
        <v>9703</v>
      </c>
      <c r="H192" s="269">
        <f t="shared" si="104"/>
        <v>9703</v>
      </c>
      <c r="I192" s="269">
        <f t="shared" si="104"/>
        <v>9703</v>
      </c>
      <c r="J192" s="269">
        <f t="shared" si="104"/>
        <v>9703</v>
      </c>
      <c r="K192" s="269">
        <f t="shared" si="104"/>
        <v>9703</v>
      </c>
    </row>
    <row r="193" spans="2:11" x14ac:dyDescent="0.2">
      <c r="B193" s="237"/>
      <c r="C193" s="207"/>
      <c r="D193" s="207"/>
      <c r="E193" s="209"/>
      <c r="F193" s="176"/>
      <c r="G193" s="176"/>
      <c r="H193" s="176"/>
      <c r="I193" s="176"/>
      <c r="J193" s="176"/>
      <c r="K193" s="176"/>
    </row>
    <row r="194" spans="2:11" x14ac:dyDescent="0.2">
      <c r="B194" s="278" t="s">
        <v>56</v>
      </c>
      <c r="C194" s="207"/>
      <c r="D194" s="207"/>
      <c r="E194" s="209"/>
      <c r="F194" s="176"/>
      <c r="G194" s="176"/>
      <c r="H194" s="176"/>
      <c r="I194" s="176"/>
      <c r="J194" s="176"/>
      <c r="K194" s="176"/>
    </row>
    <row r="195" spans="2:11" x14ac:dyDescent="0.2">
      <c r="B195" s="237" t="s">
        <v>357</v>
      </c>
      <c r="C195" s="207"/>
      <c r="D195" s="207"/>
      <c r="E195" s="209"/>
      <c r="F195" s="176">
        <f ca="1">F186+SUM(F190:F191)</f>
        <v>-4277.9750705694587</v>
      </c>
      <c r="G195" s="176">
        <f t="shared" ref="G195:K195" ca="1" si="105">G186+SUM(G190:G191)</f>
        <v>-3640.1967394007488</v>
      </c>
      <c r="H195" s="176">
        <f t="shared" ca="1" si="105"/>
        <v>-1615.9880817474018</v>
      </c>
      <c r="I195" s="176">
        <f t="shared" ca="1" si="105"/>
        <v>1061.9558796918823</v>
      </c>
      <c r="J195" s="176">
        <f t="shared" ca="1" si="105"/>
        <v>4595.357706288396</v>
      </c>
      <c r="K195" s="176">
        <f t="shared" ca="1" si="105"/>
        <v>9238.2932464794485</v>
      </c>
    </row>
    <row r="196" spans="2:11" x14ac:dyDescent="0.2">
      <c r="B196" s="237" t="s">
        <v>358</v>
      </c>
      <c r="C196" s="207"/>
      <c r="D196" s="207"/>
      <c r="E196" s="209"/>
      <c r="F196" s="176">
        <f>E76</f>
        <v>1250</v>
      </c>
      <c r="G196" s="176">
        <f ca="1">F198</f>
        <v>5527.9750705694587</v>
      </c>
      <c r="H196" s="176">
        <f t="shared" ref="H196:K196" ca="1" si="106">G198</f>
        <v>9168.1718099702084</v>
      </c>
      <c r="I196" s="176">
        <f t="shared" ca="1" si="106"/>
        <v>10784.159891717611</v>
      </c>
      <c r="J196" s="176">
        <f t="shared" ca="1" si="106"/>
        <v>9722.2040120257279</v>
      </c>
      <c r="K196" s="176">
        <f t="shared" ca="1" si="106"/>
        <v>5126.8463057373319</v>
      </c>
    </row>
    <row r="197" spans="2:11" x14ac:dyDescent="0.2">
      <c r="B197" s="237" t="s">
        <v>359</v>
      </c>
      <c r="C197" s="207"/>
      <c r="D197" s="207"/>
      <c r="E197" s="209"/>
      <c r="F197" s="176">
        <f ca="1">-MIN(F195:F196)</f>
        <v>4277.9750705694587</v>
      </c>
      <c r="G197" s="176">
        <f t="shared" ref="G197:K197" ca="1" si="107">-MIN(G195:G196)</f>
        <v>3640.1967394007488</v>
      </c>
      <c r="H197" s="176">
        <f t="shared" ca="1" si="107"/>
        <v>1615.9880817474018</v>
      </c>
      <c r="I197" s="176">
        <f t="shared" ca="1" si="107"/>
        <v>-1061.9558796918823</v>
      </c>
      <c r="J197" s="176">
        <f t="shared" ca="1" si="107"/>
        <v>-4595.357706288396</v>
      </c>
      <c r="K197" s="176">
        <f t="shared" ca="1" si="107"/>
        <v>-5126.8463057373319</v>
      </c>
    </row>
    <row r="198" spans="2:11" x14ac:dyDescent="0.2">
      <c r="B198" s="237" t="s">
        <v>360</v>
      </c>
      <c r="C198" s="243"/>
      <c r="D198" s="243"/>
      <c r="E198" s="287"/>
      <c r="F198" s="269">
        <f ca="1">SUM(F196:F197)</f>
        <v>5527.9750705694587</v>
      </c>
      <c r="G198" s="269">
        <f t="shared" ref="G198:K198" ca="1" si="108">SUM(G196:G197)</f>
        <v>9168.1718099702084</v>
      </c>
      <c r="H198" s="269">
        <f t="shared" ca="1" si="108"/>
        <v>10784.159891717611</v>
      </c>
      <c r="I198" s="269">
        <f t="shared" ca="1" si="108"/>
        <v>9722.2040120257279</v>
      </c>
      <c r="J198" s="269">
        <f t="shared" ca="1" si="108"/>
        <v>5126.8463057373319</v>
      </c>
      <c r="K198" s="269">
        <f t="shared" ca="1" si="108"/>
        <v>0</v>
      </c>
    </row>
    <row r="199" spans="2:11" x14ac:dyDescent="0.2">
      <c r="B199" s="237"/>
      <c r="C199" s="207"/>
      <c r="D199" s="207"/>
      <c r="E199" s="209"/>
      <c r="F199" s="176"/>
      <c r="G199" s="176"/>
      <c r="H199" s="176"/>
      <c r="I199" s="176"/>
      <c r="J199" s="176"/>
      <c r="K199" s="176"/>
    </row>
    <row r="200" spans="2:11" x14ac:dyDescent="0.2">
      <c r="B200" s="278" t="s">
        <v>361</v>
      </c>
      <c r="C200" s="207"/>
      <c r="D200" s="207"/>
      <c r="E200" s="209"/>
      <c r="F200" s="176"/>
      <c r="G200" s="176"/>
      <c r="H200" s="176"/>
      <c r="I200" s="176"/>
      <c r="J200" s="176"/>
      <c r="K200" s="176"/>
    </row>
    <row r="201" spans="2:11" x14ac:dyDescent="0.2">
      <c r="B201" s="237" t="s">
        <v>362</v>
      </c>
      <c r="C201" s="207"/>
      <c r="D201" s="207"/>
      <c r="E201" s="209"/>
      <c r="F201" s="254">
        <v>0.01</v>
      </c>
      <c r="G201" s="252">
        <v>0.01</v>
      </c>
      <c r="H201" s="252">
        <v>0.01</v>
      </c>
      <c r="I201" s="252">
        <v>0.01</v>
      </c>
      <c r="J201" s="252">
        <v>0.01</v>
      </c>
      <c r="K201" s="252">
        <v>0.01</v>
      </c>
    </row>
    <row r="202" spans="2:11" x14ac:dyDescent="0.2">
      <c r="B202" s="237" t="s">
        <v>363</v>
      </c>
      <c r="C202" s="207"/>
      <c r="D202" s="207"/>
      <c r="E202" s="209"/>
      <c r="F202" s="176">
        <f ca="1">AVERAGE(F196,F198)*F201</f>
        <v>33.889875352847291</v>
      </c>
      <c r="G202" s="176">
        <f t="shared" ref="G202:K202" ca="1" si="109">AVERAGE(G196,G198)*G201</f>
        <v>73.480734402698332</v>
      </c>
      <c r="H202" s="176">
        <f t="shared" ca="1" si="109"/>
        <v>99.761658508439112</v>
      </c>
      <c r="I202" s="176">
        <f t="shared" ca="1" si="109"/>
        <v>102.5318195187167</v>
      </c>
      <c r="J202" s="176">
        <f t="shared" ca="1" si="109"/>
        <v>74.245251588815307</v>
      </c>
      <c r="K202" s="176">
        <f t="shared" ca="1" si="109"/>
        <v>25.634231528686659</v>
      </c>
    </row>
    <row r="203" spans="2:11" x14ac:dyDescent="0.2">
      <c r="B203" s="237" t="s">
        <v>364</v>
      </c>
      <c r="C203" s="207"/>
      <c r="D203" s="207"/>
      <c r="E203" s="209"/>
      <c r="F203" s="254">
        <v>2.1999999999999999E-2</v>
      </c>
      <c r="G203" s="252">
        <f>F203</f>
        <v>2.1999999999999999E-2</v>
      </c>
      <c r="H203" s="252">
        <f t="shared" ref="H203:K203" si="110">G203</f>
        <v>2.1999999999999999E-2</v>
      </c>
      <c r="I203" s="252">
        <f t="shared" si="110"/>
        <v>2.1999999999999999E-2</v>
      </c>
      <c r="J203" s="252">
        <f t="shared" si="110"/>
        <v>2.1999999999999999E-2</v>
      </c>
      <c r="K203" s="252">
        <f t="shared" si="110"/>
        <v>2.1999999999999999E-2</v>
      </c>
    </row>
    <row r="204" spans="2:11" x14ac:dyDescent="0.2">
      <c r="B204" s="237" t="s">
        <v>365</v>
      </c>
      <c r="C204" s="207"/>
      <c r="D204" s="207"/>
      <c r="E204" s="209"/>
      <c r="F204" s="176">
        <f>AVERAGE(F189,F192)*F203</f>
        <v>213.46599999999998</v>
      </c>
      <c r="G204" s="176">
        <f t="shared" ref="G204:K204" si="111">AVERAGE(G189,G192)*G203</f>
        <v>213.46599999999998</v>
      </c>
      <c r="H204" s="176">
        <f t="shared" si="111"/>
        <v>213.46599999999998</v>
      </c>
      <c r="I204" s="176">
        <f t="shared" si="111"/>
        <v>213.46599999999998</v>
      </c>
      <c r="J204" s="176">
        <f t="shared" si="111"/>
        <v>213.46599999999998</v>
      </c>
      <c r="K204" s="176">
        <f t="shared" si="111"/>
        <v>213.46599999999998</v>
      </c>
    </row>
    <row r="205" spans="2:11" x14ac:dyDescent="0.2">
      <c r="B205" s="237" t="s">
        <v>366</v>
      </c>
      <c r="C205" s="207"/>
      <c r="D205" s="207"/>
      <c r="E205" s="209"/>
      <c r="F205" s="268">
        <f ca="1">SUM(F202,F204)</f>
        <v>247.35587535284728</v>
      </c>
      <c r="G205" s="269">
        <f ca="1">SUM(G202,G204)</f>
        <v>286.94673440269833</v>
      </c>
      <c r="H205" s="269">
        <f t="shared" ref="H205:K205" ca="1" si="112">SUM(H202,H204)</f>
        <v>313.22765850843911</v>
      </c>
      <c r="I205" s="269">
        <f t="shared" ca="1" si="112"/>
        <v>315.99781951871671</v>
      </c>
      <c r="J205" s="269">
        <f t="shared" ca="1" si="112"/>
        <v>287.71125158881529</v>
      </c>
      <c r="K205" s="269">
        <f t="shared" ca="1" si="112"/>
        <v>239.10023152868663</v>
      </c>
    </row>
    <row r="206" spans="2:11" x14ac:dyDescent="0.2">
      <c r="B206" s="237"/>
      <c r="C206" s="207"/>
      <c r="D206" s="207"/>
      <c r="E206" s="209"/>
      <c r="F206" s="176"/>
      <c r="G206" s="176"/>
      <c r="H206" s="176"/>
      <c r="I206" s="176"/>
      <c r="J206" s="176"/>
      <c r="K206" s="176"/>
    </row>
    <row r="207" spans="2:11" x14ac:dyDescent="0.2">
      <c r="B207" s="237" t="s">
        <v>367</v>
      </c>
      <c r="C207" s="207"/>
      <c r="D207" s="207"/>
      <c r="E207" s="209"/>
      <c r="F207" s="176">
        <f t="shared" ref="F207:K207" ca="1" si="113">AVERAGE(E58:F58)</f>
        <v>2944.5</v>
      </c>
      <c r="G207" s="176">
        <f t="shared" ca="1" si="113"/>
        <v>2500</v>
      </c>
      <c r="H207" s="176">
        <f t="shared" ca="1" si="113"/>
        <v>2500</v>
      </c>
      <c r="I207" s="176">
        <f t="shared" ca="1" si="113"/>
        <v>2500</v>
      </c>
      <c r="J207" s="176">
        <f t="shared" ca="1" si="113"/>
        <v>2500</v>
      </c>
      <c r="K207" s="176">
        <f t="shared" ca="1" si="113"/>
        <v>4555.7234703710583</v>
      </c>
    </row>
    <row r="208" spans="2:11" x14ac:dyDescent="0.2">
      <c r="B208" s="237" t="s">
        <v>368</v>
      </c>
      <c r="C208" s="207"/>
      <c r="D208" s="207"/>
      <c r="E208" s="209"/>
      <c r="F208" s="254">
        <v>5.0000000000000001E-3</v>
      </c>
      <c r="G208" s="252">
        <f>F208</f>
        <v>5.0000000000000001E-3</v>
      </c>
      <c r="H208" s="252">
        <f t="shared" ref="H208:K208" si="114">G208</f>
        <v>5.0000000000000001E-3</v>
      </c>
      <c r="I208" s="252">
        <f t="shared" si="114"/>
        <v>5.0000000000000001E-3</v>
      </c>
      <c r="J208" s="252">
        <f t="shared" si="114"/>
        <v>5.0000000000000001E-3</v>
      </c>
      <c r="K208" s="252">
        <f t="shared" si="114"/>
        <v>5.0000000000000001E-3</v>
      </c>
    </row>
    <row r="209" spans="2:11" x14ac:dyDescent="0.2">
      <c r="B209" s="237" t="s">
        <v>369</v>
      </c>
      <c r="C209" s="207"/>
      <c r="D209" s="207"/>
      <c r="E209" s="207"/>
      <c r="F209" s="268">
        <f ca="1">F207*F208</f>
        <v>14.7225</v>
      </c>
      <c r="G209" s="269">
        <f t="shared" ref="G209:K209" ca="1" si="115">G207*G208</f>
        <v>12.5</v>
      </c>
      <c r="H209" s="269">
        <f t="shared" ca="1" si="115"/>
        <v>12.5</v>
      </c>
      <c r="I209" s="269">
        <f t="shared" ca="1" si="115"/>
        <v>12.5</v>
      </c>
      <c r="J209" s="269">
        <f t="shared" ca="1" si="115"/>
        <v>12.5</v>
      </c>
      <c r="K209" s="269">
        <f t="shared" ca="1" si="115"/>
        <v>22.778617351855292</v>
      </c>
    </row>
    <row r="210" spans="2:11" x14ac:dyDescent="0.2">
      <c r="B210" s="237"/>
      <c r="C210" s="207"/>
      <c r="D210" s="207"/>
      <c r="E210" s="209"/>
      <c r="F210" s="176"/>
      <c r="G210" s="176"/>
      <c r="H210" s="176"/>
      <c r="I210" s="176"/>
      <c r="J210" s="176"/>
      <c r="K210" s="176"/>
    </row>
    <row r="211" spans="2:11" x14ac:dyDescent="0.2">
      <c r="B211" s="242" t="s">
        <v>151</v>
      </c>
      <c r="C211" s="207"/>
      <c r="D211" s="207"/>
      <c r="E211" s="209"/>
      <c r="F211" s="188">
        <f ca="1">F205-F209</f>
        <v>232.63337535284728</v>
      </c>
      <c r="G211" s="188">
        <f t="shared" ref="G211:K211" ca="1" si="116">G205-G209</f>
        <v>274.44673440269833</v>
      </c>
      <c r="H211" s="188">
        <f t="shared" ca="1" si="116"/>
        <v>300.72765850843911</v>
      </c>
      <c r="I211" s="188">
        <f t="shared" ca="1" si="116"/>
        <v>303.49781951871671</v>
      </c>
      <c r="J211" s="188">
        <f t="shared" ca="1" si="116"/>
        <v>275.21125158881529</v>
      </c>
      <c r="K211" s="188">
        <f t="shared" ca="1" si="116"/>
        <v>216.32161417683133</v>
      </c>
    </row>
    <row r="213" spans="2:11" ht="20" x14ac:dyDescent="0.25">
      <c r="B213" s="167" t="s">
        <v>370</v>
      </c>
      <c r="C213" s="167"/>
      <c r="D213" s="167"/>
      <c r="E213" s="167"/>
      <c r="F213" s="167"/>
      <c r="G213" s="167"/>
      <c r="H213" s="167"/>
      <c r="I213" s="167"/>
      <c r="J213" s="167"/>
      <c r="K213" s="167"/>
    </row>
    <row r="214" spans="2:11" x14ac:dyDescent="0.2">
      <c r="C214" s="170">
        <f>EOMONTH(D214,-12)</f>
        <v>44227</v>
      </c>
      <c r="D214" s="170">
        <f>EOMONTH(E214,-12)</f>
        <v>44592</v>
      </c>
      <c r="E214" s="171">
        <f>$C$9</f>
        <v>44955</v>
      </c>
      <c r="F214" s="170">
        <f>EOMONTH(E214,12)</f>
        <v>45322</v>
      </c>
      <c r="G214" s="170">
        <f t="shared" ref="G214:K214" si="117">EOMONTH(F214,12)</f>
        <v>45688</v>
      </c>
      <c r="H214" s="170">
        <f t="shared" si="117"/>
        <v>46053</v>
      </c>
      <c r="I214" s="170">
        <f t="shared" si="117"/>
        <v>46418</v>
      </c>
      <c r="J214" s="170">
        <f t="shared" si="117"/>
        <v>46783</v>
      </c>
      <c r="K214" s="170">
        <f t="shared" si="117"/>
        <v>47149</v>
      </c>
    </row>
    <row r="215" spans="2:11" x14ac:dyDescent="0.2">
      <c r="B215" t="s">
        <v>371</v>
      </c>
      <c r="C215" s="219">
        <v>2467</v>
      </c>
      <c r="D215" s="288">
        <v>2496</v>
      </c>
      <c r="E215" s="289">
        <v>2487</v>
      </c>
      <c r="F215" s="176">
        <f>E219</f>
        <v>2517</v>
      </c>
      <c r="G215" s="176">
        <f t="shared" ref="G215:K215" ca="1" si="118">F219</f>
        <v>2507.5339556900303</v>
      </c>
      <c r="H215" s="176">
        <f t="shared" ca="1" si="118"/>
        <v>2507.620201302967</v>
      </c>
      <c r="I215" s="176">
        <f t="shared" ca="1" si="118"/>
        <v>2514.8834991955227</v>
      </c>
      <c r="J215" s="176">
        <f t="shared" ca="1" si="118"/>
        <v>2527.560069185316</v>
      </c>
      <c r="K215" s="176">
        <f t="shared" ca="1" si="118"/>
        <v>2544.3317254962749</v>
      </c>
    </row>
    <row r="216" spans="2:11" x14ac:dyDescent="0.2">
      <c r="B216" s="237" t="s">
        <v>372</v>
      </c>
      <c r="C216" s="219">
        <v>35</v>
      </c>
      <c r="D216" s="219">
        <v>31</v>
      </c>
      <c r="E216" s="220">
        <v>30</v>
      </c>
      <c r="F216" s="219">
        <f>E216</f>
        <v>30</v>
      </c>
      <c r="G216" s="176">
        <f>F216</f>
        <v>30</v>
      </c>
      <c r="H216" s="176">
        <f t="shared" ref="H216:K217" si="119">G216</f>
        <v>30</v>
      </c>
      <c r="I216" s="176">
        <f t="shared" si="119"/>
        <v>30</v>
      </c>
      <c r="J216" s="176">
        <f t="shared" si="119"/>
        <v>30</v>
      </c>
      <c r="K216" s="176">
        <f t="shared" si="119"/>
        <v>30</v>
      </c>
    </row>
    <row r="217" spans="2:11" x14ac:dyDescent="0.2">
      <c r="B217" t="s">
        <v>373</v>
      </c>
      <c r="C217" s="219">
        <v>0</v>
      </c>
      <c r="D217" s="219">
        <v>0</v>
      </c>
      <c r="E217" s="220">
        <v>0</v>
      </c>
      <c r="F217" s="219">
        <f>E217</f>
        <v>0</v>
      </c>
      <c r="G217" s="219">
        <f t="shared" ref="G217" si="120">F217</f>
        <v>0</v>
      </c>
      <c r="H217" s="219">
        <f t="shared" si="119"/>
        <v>0</v>
      </c>
      <c r="I217" s="219">
        <f t="shared" si="119"/>
        <v>0</v>
      </c>
      <c r="J217" s="219">
        <f t="shared" si="119"/>
        <v>0</v>
      </c>
      <c r="K217" s="219">
        <f t="shared" si="119"/>
        <v>0</v>
      </c>
    </row>
    <row r="218" spans="2:11" x14ac:dyDescent="0.2">
      <c r="B218" t="s">
        <v>336</v>
      </c>
      <c r="C218" s="176">
        <f t="shared" ref="C218:D218" si="121">-C227</f>
        <v>0</v>
      </c>
      <c r="D218" s="184">
        <f t="shared" si="121"/>
        <v>-63</v>
      </c>
      <c r="E218" s="290">
        <v>0</v>
      </c>
      <c r="F218" s="176">
        <f ca="1">IF($C$11=1,-F227,0)</f>
        <v>-39.466044309969533</v>
      </c>
      <c r="G218" s="176">
        <f t="shared" ref="G218:K218" ca="1" si="122">IF($C$11=1,-G227,0)</f>
        <v>-29.913754387063179</v>
      </c>
      <c r="H218" s="176">
        <f t="shared" ca="1" si="122"/>
        <v>-22.736702107444231</v>
      </c>
      <c r="I218" s="176">
        <f t="shared" ca="1" si="122"/>
        <v>-17.323430010206806</v>
      </c>
      <c r="J218" s="176">
        <f t="shared" ca="1" si="122"/>
        <v>-13.22834368904115</v>
      </c>
      <c r="K218" s="176">
        <f t="shared" ca="1" si="122"/>
        <v>-10.124680393946404</v>
      </c>
    </row>
    <row r="219" spans="2:11" x14ac:dyDescent="0.2">
      <c r="B219" t="s">
        <v>374</v>
      </c>
      <c r="C219" s="269">
        <f t="shared" ref="C219:E219" si="123">SUM(C215:C218)</f>
        <v>2502</v>
      </c>
      <c r="D219" s="269">
        <f t="shared" si="123"/>
        <v>2464</v>
      </c>
      <c r="E219" s="291">
        <f t="shared" si="123"/>
        <v>2517</v>
      </c>
      <c r="F219" s="269">
        <f t="shared" ref="F219:K219" ca="1" si="124">SUM(F215:F218)</f>
        <v>2507.5339556900303</v>
      </c>
      <c r="G219" s="269">
        <f t="shared" ca="1" si="124"/>
        <v>2507.620201302967</v>
      </c>
      <c r="H219" s="269">
        <f t="shared" ca="1" si="124"/>
        <v>2514.8834991955227</v>
      </c>
      <c r="I219" s="269">
        <f t="shared" ca="1" si="124"/>
        <v>2527.560069185316</v>
      </c>
      <c r="J219" s="269">
        <f t="shared" ca="1" si="124"/>
        <v>2544.3317254962749</v>
      </c>
      <c r="K219" s="269">
        <f t="shared" ca="1" si="124"/>
        <v>2564.2070451023283</v>
      </c>
    </row>
    <row r="220" spans="2:11" x14ac:dyDescent="0.2">
      <c r="E220" s="191"/>
    </row>
    <row r="221" spans="2:11" x14ac:dyDescent="0.2">
      <c r="B221" t="s">
        <v>375</v>
      </c>
      <c r="C221" s="176">
        <f t="shared" ref="C221:E221" si="125">C222-C219</f>
        <v>8</v>
      </c>
      <c r="D221" s="176">
        <f t="shared" si="125"/>
        <v>71</v>
      </c>
      <c r="E221" s="216">
        <f t="shared" si="125"/>
        <v>-10</v>
      </c>
      <c r="F221" s="219">
        <f>E221</f>
        <v>-10</v>
      </c>
      <c r="G221">
        <f>F221</f>
        <v>-10</v>
      </c>
      <c r="H221">
        <f t="shared" ref="H221:K221" si="126">G221</f>
        <v>-10</v>
      </c>
      <c r="I221">
        <f t="shared" si="126"/>
        <v>-10</v>
      </c>
      <c r="J221">
        <f t="shared" si="126"/>
        <v>-10</v>
      </c>
      <c r="K221">
        <f t="shared" si="126"/>
        <v>-10</v>
      </c>
    </row>
    <row r="222" spans="2:11" x14ac:dyDescent="0.2">
      <c r="B222" t="s">
        <v>376</v>
      </c>
      <c r="C222" s="166">
        <v>2510</v>
      </c>
      <c r="D222" s="166">
        <v>2535</v>
      </c>
      <c r="E222" s="292">
        <v>2507</v>
      </c>
      <c r="F222" s="176">
        <f ca="1">F219+F221</f>
        <v>2497.5339556900303</v>
      </c>
      <c r="G222" s="176">
        <f t="shared" ref="G222:K222" ca="1" si="127">G219+G221</f>
        <v>2497.620201302967</v>
      </c>
      <c r="H222" s="176">
        <f t="shared" ca="1" si="127"/>
        <v>2504.8834991955227</v>
      </c>
      <c r="I222" s="176">
        <f t="shared" ca="1" si="127"/>
        <v>2517.560069185316</v>
      </c>
      <c r="J222" s="176">
        <f t="shared" ca="1" si="127"/>
        <v>2534.3317254962749</v>
      </c>
      <c r="K222" s="176">
        <f t="shared" ca="1" si="127"/>
        <v>2554.2070451023283</v>
      </c>
    </row>
    <row r="223" spans="2:11" x14ac:dyDescent="0.2">
      <c r="E223" s="191"/>
    </row>
    <row r="224" spans="2:11" x14ac:dyDescent="0.2">
      <c r="B224" s="293" t="s">
        <v>377</v>
      </c>
      <c r="E224" s="191"/>
    </row>
    <row r="225" spans="2:13" x14ac:dyDescent="0.2">
      <c r="B225" t="s">
        <v>378</v>
      </c>
      <c r="C225" s="294">
        <v>84.1</v>
      </c>
      <c r="D225" s="294">
        <v>74.599999999999994</v>
      </c>
      <c r="E225" s="295"/>
      <c r="F225" s="296">
        <v>80</v>
      </c>
      <c r="G225" s="297">
        <f>F225</f>
        <v>80</v>
      </c>
      <c r="H225" s="297">
        <f t="shared" ref="H225:K225" si="128">G225</f>
        <v>80</v>
      </c>
      <c r="I225" s="297">
        <f t="shared" si="128"/>
        <v>80</v>
      </c>
      <c r="J225" s="297">
        <f t="shared" si="128"/>
        <v>80</v>
      </c>
      <c r="K225" s="297">
        <f t="shared" si="128"/>
        <v>80</v>
      </c>
    </row>
    <row r="226" spans="2:13" x14ac:dyDescent="0.2">
      <c r="B226" t="s">
        <v>379</v>
      </c>
      <c r="C226" s="207"/>
      <c r="D226" s="207"/>
      <c r="E226" s="209"/>
      <c r="F226" s="298">
        <f ca="1">F225*F232</f>
        <v>254.3705652675215</v>
      </c>
      <c r="G226" s="298">
        <f t="shared" ref="G226:K226" ca="1" si="129">G225*G232</f>
        <v>335.59812887751639</v>
      </c>
      <c r="H226" s="298">
        <f t="shared" ca="1" si="129"/>
        <v>441.53281124764032</v>
      </c>
      <c r="I226" s="298">
        <f t="shared" ca="1" si="129"/>
        <v>579.50417406282202</v>
      </c>
      <c r="J226" s="298">
        <f t="shared" ca="1" si="129"/>
        <v>758.90075401629304</v>
      </c>
      <c r="K226" s="298">
        <f t="shared" ca="1" si="129"/>
        <v>991.53747174107014</v>
      </c>
      <c r="M226" s="298"/>
    </row>
    <row r="227" spans="2:13" x14ac:dyDescent="0.2">
      <c r="B227" t="s">
        <v>380</v>
      </c>
      <c r="C227" s="299">
        <v>0</v>
      </c>
      <c r="D227" s="299">
        <v>63</v>
      </c>
      <c r="E227" s="300">
        <v>0</v>
      </c>
      <c r="F227" s="269">
        <f ca="1">-F165/F226</f>
        <v>39.466044309969533</v>
      </c>
      <c r="G227" s="269">
        <f t="shared" ref="G227:K227" ca="1" si="130">-G165/G226</f>
        <v>29.913754387063179</v>
      </c>
      <c r="H227" s="269">
        <f t="shared" ca="1" si="130"/>
        <v>22.736702107444231</v>
      </c>
      <c r="I227" s="269">
        <f t="shared" ca="1" si="130"/>
        <v>17.323430010206806</v>
      </c>
      <c r="J227" s="269">
        <f t="shared" ca="1" si="130"/>
        <v>13.22834368904115</v>
      </c>
      <c r="K227" s="269">
        <f t="shared" ca="1" si="130"/>
        <v>10.124680393946404</v>
      </c>
    </row>
    <row r="228" spans="2:13" x14ac:dyDescent="0.2">
      <c r="E228" s="191"/>
    </row>
    <row r="229" spans="2:13" x14ac:dyDescent="0.2">
      <c r="B229" s="278" t="s">
        <v>381</v>
      </c>
      <c r="E229" s="191"/>
    </row>
    <row r="230" spans="2:13" x14ac:dyDescent="0.2">
      <c r="B230" s="237" t="s">
        <v>89</v>
      </c>
      <c r="C230" s="176">
        <f t="shared" ref="C230:K230" si="131">C39</f>
        <v>4332</v>
      </c>
      <c r="D230" s="176">
        <f t="shared" si="131"/>
        <v>9752</v>
      </c>
      <c r="E230" s="216">
        <f t="shared" si="131"/>
        <v>4368</v>
      </c>
      <c r="F230" s="176">
        <f t="shared" ca="1" si="131"/>
        <v>7941.2390510462756</v>
      </c>
      <c r="G230" s="176">
        <f t="shared" ca="1" si="131"/>
        <v>10477.458327549519</v>
      </c>
      <c r="H230" s="176">
        <f t="shared" ca="1" si="131"/>
        <v>13824.853165595321</v>
      </c>
      <c r="I230" s="176">
        <f t="shared" ca="1" si="131"/>
        <v>18236.707106834721</v>
      </c>
      <c r="J230" s="176">
        <f t="shared" ca="1" si="131"/>
        <v>24041.3282175817</v>
      </c>
      <c r="K230" s="176">
        <f t="shared" ca="1" si="131"/>
        <v>31657.3999475499</v>
      </c>
    </row>
    <row r="231" spans="2:13" x14ac:dyDescent="0.2">
      <c r="B231" s="237" t="s">
        <v>376</v>
      </c>
      <c r="C231" s="176">
        <f t="shared" ref="C231:K231" si="132">C222</f>
        <v>2510</v>
      </c>
      <c r="D231" s="184">
        <f t="shared" si="132"/>
        <v>2535</v>
      </c>
      <c r="E231" s="290">
        <f t="shared" si="132"/>
        <v>2507</v>
      </c>
      <c r="F231" s="176">
        <f t="shared" ca="1" si="132"/>
        <v>2497.5339556900303</v>
      </c>
      <c r="G231" s="176">
        <f t="shared" ca="1" si="132"/>
        <v>2497.620201302967</v>
      </c>
      <c r="H231" s="176">
        <f t="shared" ca="1" si="132"/>
        <v>2504.8834991955227</v>
      </c>
      <c r="I231" s="176">
        <f t="shared" ca="1" si="132"/>
        <v>2517.560069185316</v>
      </c>
      <c r="J231" s="176">
        <f t="shared" ca="1" si="132"/>
        <v>2534.3317254962749</v>
      </c>
      <c r="K231" s="176">
        <f t="shared" ca="1" si="132"/>
        <v>2554.2070451023283</v>
      </c>
    </row>
    <row r="232" spans="2:13" x14ac:dyDescent="0.2">
      <c r="B232" s="242" t="s">
        <v>381</v>
      </c>
      <c r="C232" s="301">
        <f t="shared" ref="C232:K232" si="133">C230/C231</f>
        <v>1.7258964143426294</v>
      </c>
      <c r="D232" s="301">
        <f t="shared" si="133"/>
        <v>3.8469428007889546</v>
      </c>
      <c r="E232" s="302">
        <f t="shared" si="133"/>
        <v>1.7423214998005585</v>
      </c>
      <c r="F232" s="301">
        <f t="shared" ca="1" si="133"/>
        <v>3.1796320658440189</v>
      </c>
      <c r="G232" s="301">
        <f t="shared" ca="1" si="133"/>
        <v>4.194976610968955</v>
      </c>
      <c r="H232" s="301">
        <f t="shared" ca="1" si="133"/>
        <v>5.5191601405955044</v>
      </c>
      <c r="I232" s="301">
        <f t="shared" ca="1" si="133"/>
        <v>7.2438021757852757</v>
      </c>
      <c r="J232" s="301">
        <f t="shared" ca="1" si="133"/>
        <v>9.4862594252036629</v>
      </c>
      <c r="K232" s="301">
        <f t="shared" ca="1" si="133"/>
        <v>12.394218396763376</v>
      </c>
    </row>
    <row r="233" spans="2:13" x14ac:dyDescent="0.2">
      <c r="B233" s="185" t="s">
        <v>382</v>
      </c>
      <c r="C233" s="303">
        <f t="shared" ref="C233:E233" si="134">C230/C219</f>
        <v>1.7314148681055155</v>
      </c>
      <c r="D233" s="303">
        <f t="shared" si="134"/>
        <v>3.9577922077922079</v>
      </c>
      <c r="E233" s="304">
        <f t="shared" si="134"/>
        <v>1.735399284862932</v>
      </c>
      <c r="F233" s="303">
        <f ca="1">F230/F219</f>
        <v>3.1669517507534541</v>
      </c>
      <c r="G233" s="303">
        <f t="shared" ref="G233:K233" ca="1" si="135">G230/G219</f>
        <v>4.178247695606137</v>
      </c>
      <c r="H233" s="303">
        <f t="shared" ca="1" si="135"/>
        <v>5.4972141532670218</v>
      </c>
      <c r="I233" s="303">
        <f t="shared" ca="1" si="135"/>
        <v>7.2151429076472091</v>
      </c>
      <c r="J233" s="303">
        <f t="shared" ca="1" si="135"/>
        <v>9.4489755312438319</v>
      </c>
      <c r="K233" s="303">
        <f t="shared" ca="1" si="135"/>
        <v>12.345882914570407</v>
      </c>
    </row>
    <row r="235" spans="2:13" ht="20" x14ac:dyDescent="0.25">
      <c r="B235" s="167" t="s">
        <v>383</v>
      </c>
      <c r="C235" s="167"/>
      <c r="D235" s="167"/>
      <c r="E235" s="167"/>
      <c r="F235" s="167"/>
      <c r="G235" s="167"/>
      <c r="H235" s="167"/>
      <c r="I235" s="167"/>
      <c r="J235" s="167"/>
      <c r="K235" s="167"/>
    </row>
    <row r="236" spans="2:13" x14ac:dyDescent="0.2">
      <c r="C236" s="170">
        <f>EOMONTH(D236,-12)</f>
        <v>44227</v>
      </c>
      <c r="D236" s="170">
        <f>EOMONTH(E236,-12)</f>
        <v>44592</v>
      </c>
      <c r="E236" s="171">
        <f>$C$9</f>
        <v>44955</v>
      </c>
      <c r="F236" s="170">
        <f>EOMONTH(E236,12)</f>
        <v>45322</v>
      </c>
      <c r="G236" s="170">
        <f t="shared" ref="G236:K236" si="136">EOMONTH(F236,12)</f>
        <v>45688</v>
      </c>
      <c r="H236" s="170">
        <f t="shared" si="136"/>
        <v>46053</v>
      </c>
      <c r="I236" s="170">
        <f t="shared" si="136"/>
        <v>46418</v>
      </c>
      <c r="J236" s="170">
        <f t="shared" si="136"/>
        <v>46783</v>
      </c>
      <c r="K236" s="170">
        <f t="shared" si="136"/>
        <v>47149</v>
      </c>
    </row>
    <row r="237" spans="2:13" x14ac:dyDescent="0.2">
      <c r="B237" t="s">
        <v>384</v>
      </c>
      <c r="C237" s="219">
        <v>886</v>
      </c>
      <c r="D237" s="219">
        <v>3214</v>
      </c>
      <c r="E237" s="289">
        <v>4349</v>
      </c>
      <c r="F237" s="176">
        <f>E237*(1+F243)</f>
        <v>5884.6319000000003</v>
      </c>
      <c r="G237" s="176">
        <f t="shared" ref="G237:K237" si="137">F237*(1+G243)</f>
        <v>7962.49542389</v>
      </c>
      <c r="H237" s="176">
        <f t="shared" si="137"/>
        <v>10774.052558065559</v>
      </c>
      <c r="I237" s="176">
        <f t="shared" si="137"/>
        <v>14578.370516318508</v>
      </c>
      <c r="J237" s="176">
        <f t="shared" si="137"/>
        <v>19725.993145630571</v>
      </c>
      <c r="K237" s="176">
        <f t="shared" si="137"/>
        <v>26691.241325352727</v>
      </c>
    </row>
    <row r="238" spans="2:13" x14ac:dyDescent="0.2">
      <c r="B238" t="s">
        <v>385</v>
      </c>
      <c r="C238" s="219">
        <v>3025</v>
      </c>
      <c r="D238" s="219">
        <v>4531</v>
      </c>
      <c r="E238" s="220">
        <v>8544</v>
      </c>
      <c r="F238" s="176">
        <f t="shared" ref="F238:K239" si="138">E238*(1+F244)</f>
        <v>16111.4208</v>
      </c>
      <c r="G238" s="176">
        <f t="shared" si="138"/>
        <v>30381.306202559997</v>
      </c>
      <c r="H238" s="176">
        <f t="shared" si="138"/>
        <v>57290.029106167385</v>
      </c>
      <c r="I238" s="176">
        <f t="shared" si="138"/>
        <v>108031.80788549983</v>
      </c>
      <c r="J238" s="176">
        <f t="shared" si="138"/>
        <v>203715.58012968703</v>
      </c>
      <c r="K238" s="176">
        <f t="shared" si="138"/>
        <v>384146.46945055085</v>
      </c>
    </row>
    <row r="239" spans="2:13" x14ac:dyDescent="0.2">
      <c r="B239" t="s">
        <v>386</v>
      </c>
      <c r="C239" s="219">
        <v>7007</v>
      </c>
      <c r="D239" s="219">
        <v>8930</v>
      </c>
      <c r="E239" s="220">
        <v>14021</v>
      </c>
      <c r="F239" s="176">
        <f t="shared" si="138"/>
        <v>22014.372100000001</v>
      </c>
      <c r="G239" s="176">
        <f t="shared" si="138"/>
        <v>34564.765634210002</v>
      </c>
      <c r="H239" s="176">
        <f t="shared" si="138"/>
        <v>54270.138522273126</v>
      </c>
      <c r="I239" s="176">
        <f t="shared" si="138"/>
        <v>85209.544493821042</v>
      </c>
      <c r="J239" s="176">
        <f t="shared" si="138"/>
        <v>133787.50580974843</v>
      </c>
      <c r="K239" s="176">
        <f t="shared" si="138"/>
        <v>210059.76287188602</v>
      </c>
    </row>
    <row r="240" spans="2:13" x14ac:dyDescent="0.2">
      <c r="B240" s="185" t="s">
        <v>387</v>
      </c>
      <c r="C240" s="195">
        <f>SUM(C237:C239)</f>
        <v>10918</v>
      </c>
      <c r="D240" s="195">
        <f t="shared" ref="D240:K240" si="139">SUM(D237:D239)</f>
        <v>16675</v>
      </c>
      <c r="E240" s="221">
        <f t="shared" si="139"/>
        <v>26914</v>
      </c>
      <c r="F240" s="195">
        <f>SUM(F237:F239)</f>
        <v>44010.424800000001</v>
      </c>
      <c r="G240" s="195">
        <f t="shared" si="139"/>
        <v>72908.567260659998</v>
      </c>
      <c r="H240" s="195">
        <f t="shared" si="139"/>
        <v>122334.22018650608</v>
      </c>
      <c r="I240" s="195">
        <f t="shared" si="139"/>
        <v>207819.72289563937</v>
      </c>
      <c r="J240" s="195">
        <f t="shared" si="139"/>
        <v>357229.07908506604</v>
      </c>
      <c r="K240" s="195">
        <f t="shared" si="139"/>
        <v>620897.47364778956</v>
      </c>
    </row>
    <row r="242" spans="2:11" x14ac:dyDescent="0.2">
      <c r="B242" s="293" t="s">
        <v>388</v>
      </c>
    </row>
    <row r="243" spans="2:11" x14ac:dyDescent="0.2">
      <c r="B243" t="s">
        <v>384</v>
      </c>
      <c r="C243" s="207"/>
      <c r="D243" s="252">
        <f>D237/C237-1</f>
        <v>2.6275395033860045</v>
      </c>
      <c r="E243" s="253">
        <f t="shared" ref="E243:E245" si="140">E237/D237-1</f>
        <v>0.35314250155569393</v>
      </c>
      <c r="F243" s="254">
        <v>0.35310000000000002</v>
      </c>
      <c r="G243" s="252">
        <f>F243</f>
        <v>0.35310000000000002</v>
      </c>
      <c r="H243" s="252">
        <f t="shared" ref="H243:K245" si="141">G243</f>
        <v>0.35310000000000002</v>
      </c>
      <c r="I243" s="252">
        <f t="shared" si="141"/>
        <v>0.35310000000000002</v>
      </c>
      <c r="J243" s="252">
        <f t="shared" si="141"/>
        <v>0.35310000000000002</v>
      </c>
      <c r="K243" s="252">
        <f t="shared" si="141"/>
        <v>0.35310000000000002</v>
      </c>
    </row>
    <row r="244" spans="2:11" x14ac:dyDescent="0.2">
      <c r="B244" t="s">
        <v>385</v>
      </c>
      <c r="C244" s="207"/>
      <c r="D244" s="252">
        <f t="shared" ref="D244:D245" si="142">D238/C238-1</f>
        <v>0.49785123966942146</v>
      </c>
      <c r="E244" s="253">
        <f t="shared" si="140"/>
        <v>0.88567645111454429</v>
      </c>
      <c r="F244" s="254">
        <v>0.88570000000000004</v>
      </c>
      <c r="G244" s="252">
        <f>F244</f>
        <v>0.88570000000000004</v>
      </c>
      <c r="H244" s="252">
        <f t="shared" si="141"/>
        <v>0.88570000000000004</v>
      </c>
      <c r="I244" s="252">
        <f t="shared" si="141"/>
        <v>0.88570000000000004</v>
      </c>
      <c r="J244" s="252">
        <f t="shared" si="141"/>
        <v>0.88570000000000004</v>
      </c>
      <c r="K244" s="252">
        <f t="shared" si="141"/>
        <v>0.88570000000000004</v>
      </c>
    </row>
    <row r="245" spans="2:11" x14ac:dyDescent="0.2">
      <c r="B245" t="s">
        <v>386</v>
      </c>
      <c r="C245" s="207"/>
      <c r="D245" s="252">
        <f t="shared" si="142"/>
        <v>0.27443984586841719</v>
      </c>
      <c r="E245" s="253">
        <f t="shared" si="140"/>
        <v>0.57010078387457996</v>
      </c>
      <c r="F245" s="254">
        <v>0.57010000000000005</v>
      </c>
      <c r="G245" s="252">
        <f>F245</f>
        <v>0.57010000000000005</v>
      </c>
      <c r="H245" s="252">
        <f t="shared" si="141"/>
        <v>0.57010000000000005</v>
      </c>
      <c r="I245" s="252">
        <f t="shared" si="141"/>
        <v>0.57010000000000005</v>
      </c>
      <c r="J245" s="252">
        <f t="shared" si="141"/>
        <v>0.57010000000000005</v>
      </c>
      <c r="K245" s="252">
        <f t="shared" si="141"/>
        <v>0.57010000000000005</v>
      </c>
    </row>
    <row r="247" spans="2:11" ht="20" x14ac:dyDescent="0.25">
      <c r="B247" s="167" t="s">
        <v>389</v>
      </c>
      <c r="C247" s="167"/>
      <c r="D247" s="167"/>
      <c r="E247" s="167"/>
      <c r="F247" s="167"/>
      <c r="G247" s="167"/>
      <c r="H247" s="167"/>
      <c r="I247" s="167"/>
      <c r="J247" s="167"/>
      <c r="K247" s="167"/>
    </row>
    <row r="249" spans="2:11" x14ac:dyDescent="0.2">
      <c r="C249" s="305" t="s">
        <v>390</v>
      </c>
      <c r="D249" s="162"/>
      <c r="E249" s="162"/>
      <c r="F249" s="162"/>
      <c r="G249" s="162"/>
      <c r="H249" s="162"/>
      <c r="I249" s="162"/>
      <c r="J249" s="162"/>
    </row>
    <row r="250" spans="2:11" ht="16" thickBot="1" x14ac:dyDescent="0.25">
      <c r="C250" s="306"/>
      <c r="D250" s="306" t="s">
        <v>282</v>
      </c>
      <c r="E250" s="306"/>
      <c r="F250" s="306"/>
      <c r="G250" s="306"/>
      <c r="H250" s="306"/>
      <c r="I250" s="306"/>
      <c r="J250" s="306"/>
    </row>
    <row r="251" spans="2:11" ht="16" thickBot="1" x14ac:dyDescent="0.25">
      <c r="C251" s="307">
        <f ca="1">K226</f>
        <v>991.53747174107014</v>
      </c>
      <c r="D251" s="308">
        <v>0.67500000000000004</v>
      </c>
      <c r="E251" s="309">
        <v>0.68</v>
      </c>
      <c r="F251" s="309">
        <v>0.68500000000000005</v>
      </c>
      <c r="G251" s="309">
        <v>0.69</v>
      </c>
      <c r="H251" s="309">
        <v>0.69499999999999995</v>
      </c>
      <c r="I251" s="309">
        <v>0.7</v>
      </c>
      <c r="J251" s="310">
        <v>0.70499999999999996</v>
      </c>
    </row>
    <row r="252" spans="2:11" x14ac:dyDescent="0.2">
      <c r="B252" s="383" t="s">
        <v>391</v>
      </c>
      <c r="C252" s="311">
        <v>0.33500000000000002</v>
      </c>
      <c r="D252" s="312">
        <v>4769.592328551018</v>
      </c>
      <c r="E252" s="313">
        <v>4769.592328551018</v>
      </c>
      <c r="F252" s="313">
        <v>4769.592328551018</v>
      </c>
      <c r="G252" s="313">
        <v>4769.592328551018</v>
      </c>
      <c r="H252" s="313">
        <v>4769.592328551018</v>
      </c>
      <c r="I252" s="313">
        <v>4769.592328551018</v>
      </c>
      <c r="J252" s="314">
        <v>4769.592328551018</v>
      </c>
    </row>
    <row r="253" spans="2:11" x14ac:dyDescent="0.2">
      <c r="B253" s="384"/>
      <c r="C253" s="315">
        <v>0.34</v>
      </c>
      <c r="D253" s="316">
        <v>4769.592328551018</v>
      </c>
      <c r="E253" s="317">
        <v>4769.592328551018</v>
      </c>
      <c r="F253" s="317">
        <v>4769.592328551018</v>
      </c>
      <c r="G253" s="317">
        <v>4769.592328551018</v>
      </c>
      <c r="H253" s="317">
        <v>4769.592328551018</v>
      </c>
      <c r="I253" s="317">
        <v>4769.592328551018</v>
      </c>
      <c r="J253" s="318">
        <v>4769.592328551018</v>
      </c>
    </row>
    <row r="254" spans="2:11" x14ac:dyDescent="0.2">
      <c r="B254" s="384"/>
      <c r="C254" s="315">
        <v>0.34499999999999997</v>
      </c>
      <c r="D254" s="316">
        <v>4769.592328551018</v>
      </c>
      <c r="E254" s="317">
        <v>4769.592328551018</v>
      </c>
      <c r="F254" s="317">
        <v>4769.592328551018</v>
      </c>
      <c r="G254" s="317">
        <v>4769.592328551018</v>
      </c>
      <c r="H254" s="317">
        <v>4769.592328551018</v>
      </c>
      <c r="I254" s="317">
        <v>4769.592328551018</v>
      </c>
      <c r="J254" s="318">
        <v>4769.592328551018</v>
      </c>
    </row>
    <row r="255" spans="2:11" x14ac:dyDescent="0.2">
      <c r="B255" s="384"/>
      <c r="C255" s="315">
        <v>0.35</v>
      </c>
      <c r="D255" s="316">
        <v>4769.592328551018</v>
      </c>
      <c r="E255" s="317">
        <v>4769.592328551018</v>
      </c>
      <c r="F255" s="317">
        <v>4769.592328551018</v>
      </c>
      <c r="G255" s="317">
        <v>4769.592328551018</v>
      </c>
      <c r="H255" s="317">
        <v>4769.592328551018</v>
      </c>
      <c r="I255" s="317">
        <v>4769.592328551018</v>
      </c>
      <c r="J255" s="318">
        <v>4769.592328551018</v>
      </c>
    </row>
    <row r="256" spans="2:11" x14ac:dyDescent="0.2">
      <c r="B256" s="384"/>
      <c r="C256" s="315">
        <v>0.35499999999999998</v>
      </c>
      <c r="D256" s="316">
        <v>4769.592328551018</v>
      </c>
      <c r="E256" s="317">
        <v>4769.592328551018</v>
      </c>
      <c r="F256" s="317">
        <v>4769.592328551018</v>
      </c>
      <c r="G256" s="317">
        <v>4769.592328551018</v>
      </c>
      <c r="H256" s="317">
        <v>4769.592328551018</v>
      </c>
      <c r="I256" s="317">
        <v>4769.592328551018</v>
      </c>
      <c r="J256" s="318">
        <v>4769.592328551018</v>
      </c>
    </row>
    <row r="257" spans="2:13" x14ac:dyDescent="0.2">
      <c r="B257" s="384"/>
      <c r="C257" s="315">
        <v>0.36</v>
      </c>
      <c r="D257" s="316">
        <v>4769.592328551018</v>
      </c>
      <c r="E257" s="317">
        <v>4769.592328551018</v>
      </c>
      <c r="F257" s="317">
        <v>4769.592328551018</v>
      </c>
      <c r="G257" s="317">
        <v>4769.592328551018</v>
      </c>
      <c r="H257" s="317">
        <v>4769.592328551018</v>
      </c>
      <c r="I257" s="317">
        <v>4769.592328551018</v>
      </c>
      <c r="J257" s="318">
        <v>4769.592328551018</v>
      </c>
    </row>
    <row r="258" spans="2:13" ht="16" thickBot="1" x14ac:dyDescent="0.25">
      <c r="B258" s="384"/>
      <c r="C258" s="319">
        <v>0.36499999999999999</v>
      </c>
      <c r="D258" s="320">
        <v>4769.592328551018</v>
      </c>
      <c r="E258" s="321">
        <v>4769.592328551018</v>
      </c>
      <c r="F258" s="321">
        <v>4769.592328551018</v>
      </c>
      <c r="G258" s="321">
        <v>4769.592328551018</v>
      </c>
      <c r="H258" s="321">
        <v>4769.592328551018</v>
      </c>
      <c r="I258" s="321">
        <v>4769.592328551018</v>
      </c>
      <c r="J258" s="322">
        <v>4769.592328551018</v>
      </c>
    </row>
    <row r="260" spans="2:13" ht="20" x14ac:dyDescent="0.25">
      <c r="B260" s="167" t="s">
        <v>392</v>
      </c>
      <c r="C260" s="167"/>
      <c r="D260" s="167"/>
      <c r="E260" s="167"/>
      <c r="F260" s="167"/>
      <c r="G260" s="167"/>
      <c r="H260" s="167"/>
      <c r="I260" s="167"/>
      <c r="J260" s="167"/>
      <c r="K260" s="167"/>
    </row>
    <row r="261" spans="2:13" x14ac:dyDescent="0.2">
      <c r="C261" s="170">
        <f>EOMONTH(D261,-12)</f>
        <v>44227</v>
      </c>
      <c r="D261" s="170">
        <f>EOMONTH(E261,-12)</f>
        <v>44592</v>
      </c>
      <c r="E261" s="171">
        <f>$C$9</f>
        <v>44955</v>
      </c>
      <c r="F261" s="170">
        <f>EOMONTH(E261,12)</f>
        <v>45322</v>
      </c>
      <c r="G261" s="170">
        <f t="shared" ref="G261:K261" si="143">EOMONTH(F261,12)</f>
        <v>45688</v>
      </c>
      <c r="H261" s="170">
        <f t="shared" si="143"/>
        <v>46053</v>
      </c>
      <c r="I261" s="170">
        <f t="shared" si="143"/>
        <v>46418</v>
      </c>
      <c r="J261" s="170">
        <f t="shared" si="143"/>
        <v>46783</v>
      </c>
      <c r="K261" s="170">
        <f t="shared" si="143"/>
        <v>47149</v>
      </c>
      <c r="M261" s="377" t="s">
        <v>393</v>
      </c>
    </row>
    <row r="262" spans="2:13" x14ac:dyDescent="0.2">
      <c r="B262" s="237"/>
      <c r="C262" s="207"/>
      <c r="D262" s="207"/>
      <c r="E262" s="287"/>
      <c r="M262" s="377" t="s">
        <v>158</v>
      </c>
    </row>
    <row r="263" spans="2:13" x14ac:dyDescent="0.2">
      <c r="B263" s="237" t="s">
        <v>394</v>
      </c>
      <c r="C263" s="207"/>
      <c r="D263" s="207"/>
      <c r="E263" s="209"/>
      <c r="F263" s="176">
        <f t="array" ref="F263:K263">TRANSPOSE(F121/M263)</f>
        <v>475.875</v>
      </c>
      <c r="G263" s="176">
        <v>475.875</v>
      </c>
      <c r="H263" s="176">
        <v>475.875</v>
      </c>
      <c r="I263" s="176">
        <v>475.875</v>
      </c>
      <c r="J263" s="176">
        <v>475.875</v>
      </c>
      <c r="K263" s="176">
        <v>475.875</v>
      </c>
      <c r="M263" s="323">
        <v>8</v>
      </c>
    </row>
    <row r="264" spans="2:13" x14ac:dyDescent="0.2">
      <c r="B264" s="237"/>
      <c r="C264" s="207"/>
      <c r="D264" s="207"/>
      <c r="E264" s="209"/>
    </row>
    <row r="265" spans="2:13" x14ac:dyDescent="0.2">
      <c r="B265" s="278" t="s">
        <v>395</v>
      </c>
      <c r="C265" s="207"/>
      <c r="D265" s="207"/>
      <c r="E265" s="209"/>
    </row>
    <row r="266" spans="2:13" x14ac:dyDescent="0.2">
      <c r="B266" s="324">
        <v>2023</v>
      </c>
      <c r="C266" s="207"/>
      <c r="D266" s="207"/>
      <c r="E266" s="209"/>
      <c r="F266" s="176">
        <f t="array" ref="F266:K266">TRANSPOSE(F123/M263)</f>
        <v>306.42972265316399</v>
      </c>
      <c r="G266" s="176">
        <v>306.42972265316399</v>
      </c>
      <c r="H266" s="176">
        <v>306.42972265316399</v>
      </c>
      <c r="I266" s="176">
        <v>306.42972265316399</v>
      </c>
      <c r="J266" s="176">
        <v>306.42972265316399</v>
      </c>
      <c r="K266" s="176">
        <v>306.42972265316399</v>
      </c>
    </row>
    <row r="267" spans="2:13" x14ac:dyDescent="0.2">
      <c r="B267" s="324">
        <f>B266+1</f>
        <v>2024</v>
      </c>
      <c r="C267" s="207"/>
      <c r="D267" s="207"/>
      <c r="E267" s="209"/>
      <c r="F267" s="176"/>
      <c r="G267" s="176">
        <f t="array" ref="G267:K267">TRANSPOSE(G123/M263)</f>
        <v>400.8502664900534</v>
      </c>
      <c r="H267" s="176">
        <v>400.8502664900534</v>
      </c>
      <c r="I267" s="176">
        <v>400.8502664900534</v>
      </c>
      <c r="J267" s="176">
        <v>400.8502664900534</v>
      </c>
      <c r="K267" s="176">
        <v>400.8502664900534</v>
      </c>
    </row>
    <row r="268" spans="2:13" x14ac:dyDescent="0.2">
      <c r="B268" s="324">
        <f t="shared" ref="B268:B270" si="144">B267+1</f>
        <v>2025</v>
      </c>
      <c r="C268" s="207"/>
      <c r="D268" s="207"/>
      <c r="E268" s="209"/>
      <c r="F268" s="176"/>
      <c r="G268" s="176"/>
      <c r="H268" s="176">
        <f t="array" ref="H268:K268">TRANSPOSE(H123/M263)</f>
        <v>524.36472139164971</v>
      </c>
      <c r="I268" s="176">
        <v>524.36472139164971</v>
      </c>
      <c r="J268" s="176">
        <v>524.36472139164971</v>
      </c>
      <c r="K268" s="176">
        <v>524.36472139164971</v>
      </c>
    </row>
    <row r="269" spans="2:13" x14ac:dyDescent="0.2">
      <c r="B269" s="324">
        <f t="shared" si="144"/>
        <v>2026</v>
      </c>
      <c r="C269" s="207"/>
      <c r="D269" s="207"/>
      <c r="E269" s="209"/>
      <c r="F269" s="176"/>
      <c r="G269" s="176"/>
      <c r="H269" s="176"/>
      <c r="I269" s="176">
        <f t="array" ref="I269:K269">TRANSPOSE(I123/M263)</f>
        <v>685.93782772741451</v>
      </c>
      <c r="J269" s="176">
        <v>685.93782772741451</v>
      </c>
      <c r="K269" s="176">
        <v>685.93782772741451</v>
      </c>
    </row>
    <row r="270" spans="2:13" x14ac:dyDescent="0.2">
      <c r="B270" s="324">
        <f t="shared" si="144"/>
        <v>2027</v>
      </c>
      <c r="C270" s="207"/>
      <c r="D270" s="207"/>
      <c r="E270" s="209"/>
      <c r="F270" s="176"/>
      <c r="G270" s="176"/>
      <c r="H270" s="176"/>
      <c r="I270" s="176"/>
      <c r="J270" s="176">
        <f t="array" ref="J270:K270">TRANSPOSE(J123/M263)</f>
        <v>897.29664165560496</v>
      </c>
      <c r="K270" s="176">
        <v>897.29664165560496</v>
      </c>
    </row>
    <row r="271" spans="2:13" x14ac:dyDescent="0.2">
      <c r="B271" s="324">
        <v>2028</v>
      </c>
      <c r="C271" s="207"/>
      <c r="D271" s="207"/>
      <c r="E271" s="209"/>
      <c r="F271" s="176"/>
      <c r="G271" s="176"/>
      <c r="H271" s="176"/>
      <c r="I271" s="176"/>
      <c r="J271" s="176"/>
      <c r="K271" s="176">
        <f>K123/M263</f>
        <v>1173.781690672967</v>
      </c>
    </row>
    <row r="272" spans="2:13" x14ac:dyDescent="0.2">
      <c r="B272" s="237" t="s">
        <v>396</v>
      </c>
      <c r="C272" s="243"/>
      <c r="D272" s="243"/>
      <c r="E272" s="287"/>
      <c r="F272" s="269">
        <f>SUM(F266:F271)</f>
        <v>306.42972265316399</v>
      </c>
      <c r="G272" s="269">
        <f t="shared" ref="G272:K272" si="145">SUM(G266:G271)</f>
        <v>707.27998914321734</v>
      </c>
      <c r="H272" s="269">
        <f t="shared" si="145"/>
        <v>1231.644710534867</v>
      </c>
      <c r="I272" s="269">
        <f t="shared" si="145"/>
        <v>1917.5825382622816</v>
      </c>
      <c r="J272" s="269">
        <f t="shared" si="145"/>
        <v>2814.8791799178866</v>
      </c>
      <c r="K272" s="269">
        <f t="shared" si="145"/>
        <v>3988.6608705908538</v>
      </c>
    </row>
    <row r="273" spans="2:11" x14ac:dyDescent="0.2">
      <c r="B273" s="237"/>
      <c r="C273" s="207"/>
      <c r="D273" s="207"/>
      <c r="E273" s="209"/>
      <c r="F273" s="176"/>
      <c r="G273" s="176"/>
      <c r="H273" s="176"/>
      <c r="I273" s="176"/>
      <c r="J273" s="176"/>
      <c r="K273" s="176"/>
    </row>
    <row r="274" spans="2:11" x14ac:dyDescent="0.2">
      <c r="B274" s="237" t="s">
        <v>397</v>
      </c>
      <c r="C274" s="207"/>
      <c r="D274" s="207"/>
      <c r="E274" s="209"/>
      <c r="F274" s="176">
        <f>SUM(F272,F263)</f>
        <v>782.30472265316394</v>
      </c>
      <c r="G274" s="176">
        <f t="shared" ref="G274:J274" si="146">SUM(G272,G263)</f>
        <v>1183.1549891432173</v>
      </c>
      <c r="H274" s="176">
        <f t="shared" si="146"/>
        <v>1707.519710534867</v>
      </c>
      <c r="I274" s="176">
        <f t="shared" si="146"/>
        <v>2393.4575382622816</v>
      </c>
      <c r="J274" s="176">
        <f t="shared" si="146"/>
        <v>3290.7541799178866</v>
      </c>
      <c r="K274" s="176">
        <f>SUM(K272,K263)</f>
        <v>4464.5358705908538</v>
      </c>
    </row>
  </sheetData>
  <mergeCells count="1">
    <mergeCell ref="B252:B258"/>
  </mergeCells>
  <conditionalFormatting sqref="D252:J258">
    <cfRule type="colorScale" priority="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C10" xr:uid="{DC5BDFA2-6D99-42EF-86B7-5E6C25CCB284}">
      <formula1>$B$46:$B$48</formula1>
    </dataValidation>
    <dataValidation type="list" allowBlank="1" showInputMessage="1" showErrorMessage="1" sqref="F45" xr:uid="{7C10072A-7828-44B0-AC92-515750C13C78}">
      <formula1>$F$46:$F$48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3" name="Button 7">
              <controlPr defaultSize="0" print="0" autoFill="0" autoPict="0" macro="[0]!lbo_circ">
                <anchor moveWithCells="1" sizeWithCells="1">
                  <from>
                    <xdr:col>2</xdr:col>
                    <xdr:colOff>0</xdr:colOff>
                    <xdr:row>9</xdr:row>
                    <xdr:rowOff>177800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LBO</vt:lpstr>
      <vt:lpstr>P&amp;L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 Pakel</dc:creator>
  <cp:keywords/>
  <dc:description/>
  <cp:lastModifiedBy>Brando Pakel</cp:lastModifiedBy>
  <cp:revision/>
  <dcterms:created xsi:type="dcterms:W3CDTF">2023-08-24T00:23:34Z</dcterms:created>
  <dcterms:modified xsi:type="dcterms:W3CDTF">2025-05-20T02:39:08Z</dcterms:modified>
  <cp:category/>
  <cp:contentStatus/>
</cp:coreProperties>
</file>