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p/Downloads/"/>
    </mc:Choice>
  </mc:AlternateContent>
  <xr:revisionPtr revIDLastSave="0" documentId="8_{6F34B5E4-AFBD-C049-9FBB-C8672631F8FD}" xr6:coauthVersionLast="47" xr6:coauthVersionMax="47" xr10:uidLastSave="{00000000-0000-0000-0000-000000000000}"/>
  <bookViews>
    <workbookView xWindow="0" yWindow="760" windowWidth="29040" windowHeight="15840" firstSheet="1" activeTab="2" xr2:uid="{DA939316-444A-49ED-A086-14EB0075F8A6}"/>
  </bookViews>
  <sheets>
    <sheet name="NVDA" sheetId="8" r:id="rId1"/>
    <sheet name="AMD" sheetId="2" r:id="rId2"/>
    <sheet name="Simple Acquire" sheetId="3" r:id="rId3"/>
    <sheet name="Detailed Acquire" sheetId="4" r:id="rId4"/>
    <sheet name="Contribution Analysis" sheetId="9" r:id="rId5"/>
    <sheet name="NVDA Sells" sheetId="5" r:id="rId6"/>
  </sheets>
  <definedNames>
    <definedName name="circ">'Detailed Acquire'!$C$11</definedName>
  </definedNames>
  <calcPr calcId="191028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4" l="1"/>
  <c r="C85" i="9" s="1"/>
  <c r="C86" i="9" s="1"/>
  <c r="D84" i="9"/>
  <c r="C84" i="9"/>
  <c r="E83" i="9"/>
  <c r="D83" i="9"/>
  <c r="C83" i="9"/>
  <c r="D81" i="9"/>
  <c r="C81" i="9"/>
  <c r="E80" i="9"/>
  <c r="D80" i="9"/>
  <c r="C80" i="9"/>
  <c r="D78" i="9"/>
  <c r="C78" i="9"/>
  <c r="D77" i="9"/>
  <c r="C77" i="9"/>
  <c r="D76" i="9"/>
  <c r="C76" i="9"/>
  <c r="D85" i="9" l="1"/>
  <c r="I86" i="9"/>
  <c r="J54" i="9"/>
  <c r="D53" i="9"/>
  <c r="C53" i="9"/>
  <c r="E53" i="9" s="1"/>
  <c r="J51" i="9"/>
  <c r="D51" i="9"/>
  <c r="D50" i="9"/>
  <c r="D49" i="9"/>
  <c r="C50" i="9"/>
  <c r="C51" i="9" s="1"/>
  <c r="C49" i="9"/>
  <c r="E85" i="9" l="1"/>
  <c r="D86" i="9"/>
  <c r="E51" i="9"/>
  <c r="I51" i="9" s="1"/>
  <c r="H51" i="9"/>
  <c r="D54" i="9"/>
  <c r="C54" i="9"/>
  <c r="E54" i="9" l="1"/>
  <c r="H54" i="9" s="1"/>
  <c r="I54" i="9" l="1"/>
  <c r="J36" i="9" l="1"/>
  <c r="J37" i="9"/>
  <c r="J39" i="9"/>
  <c r="J40" i="9"/>
  <c r="J41" i="9"/>
  <c r="J43" i="9"/>
  <c r="J44" i="9"/>
  <c r="J45" i="9"/>
  <c r="J35" i="9"/>
  <c r="C41" i="9"/>
  <c r="C66" i="9" s="1"/>
  <c r="F16" i="9"/>
  <c r="G16" i="9"/>
  <c r="H16" i="9"/>
  <c r="I16" i="9"/>
  <c r="C37" i="9" s="1"/>
  <c r="C62" i="9" s="1"/>
  <c r="J16" i="9"/>
  <c r="F12" i="9"/>
  <c r="G12" i="9"/>
  <c r="C31" i="9" s="1"/>
  <c r="C56" i="9" s="1"/>
  <c r="H12" i="9"/>
  <c r="I12" i="9"/>
  <c r="C33" i="9" s="1"/>
  <c r="C58" i="9" s="1"/>
  <c r="J12" i="9"/>
  <c r="C36" i="9"/>
  <c r="C61" i="9" s="1"/>
  <c r="C35" i="9"/>
  <c r="C60" i="9" s="1"/>
  <c r="C32" i="9"/>
  <c r="C57" i="9" s="1"/>
  <c r="G133" i="4"/>
  <c r="F24" i="9"/>
  <c r="F20" i="9"/>
  <c r="G20" i="9"/>
  <c r="C39" i="9" s="1"/>
  <c r="C64" i="9" s="1"/>
  <c r="H20" i="9"/>
  <c r="C40" i="9" s="1"/>
  <c r="C65" i="9" s="1"/>
  <c r="I20" i="9"/>
  <c r="J20" i="9"/>
  <c r="C8" i="9"/>
  <c r="F11" i="9"/>
  <c r="G11" i="9" s="1"/>
  <c r="H11" i="9" s="1"/>
  <c r="I11" i="9" s="1"/>
  <c r="J11" i="9" s="1"/>
  <c r="G295" i="5"/>
  <c r="G294" i="5"/>
  <c r="G281" i="5"/>
  <c r="H142" i="5"/>
  <c r="I136" i="5"/>
  <c r="J136" i="5"/>
  <c r="K136" i="5"/>
  <c r="L136" i="5"/>
  <c r="H136" i="5"/>
  <c r="H131" i="5"/>
  <c r="G114" i="5"/>
  <c r="I114" i="5"/>
  <c r="J114" i="5"/>
  <c r="K114" i="5"/>
  <c r="L114" i="5"/>
  <c r="H114" i="5"/>
  <c r="I111" i="5"/>
  <c r="J111" i="5"/>
  <c r="J112" i="5" s="1"/>
  <c r="K111" i="5"/>
  <c r="K112" i="5" s="1"/>
  <c r="L111" i="5"/>
  <c r="H111" i="5"/>
  <c r="I105" i="5"/>
  <c r="J105" i="5"/>
  <c r="K105" i="5"/>
  <c r="L105" i="5"/>
  <c r="H105" i="5"/>
  <c r="I110" i="5"/>
  <c r="J110" i="5"/>
  <c r="K110" i="5"/>
  <c r="L110" i="5"/>
  <c r="H110" i="5"/>
  <c r="I107" i="5"/>
  <c r="J107" i="5"/>
  <c r="K107" i="5"/>
  <c r="L107" i="5"/>
  <c r="H107" i="5"/>
  <c r="I106" i="5"/>
  <c r="J106" i="5"/>
  <c r="K106" i="5"/>
  <c r="L106" i="5"/>
  <c r="H106" i="5"/>
  <c r="H122" i="5"/>
  <c r="H121" i="5"/>
  <c r="H119" i="5"/>
  <c r="H118" i="5"/>
  <c r="H117" i="5"/>
  <c r="H112" i="5"/>
  <c r="I112" i="5"/>
  <c r="G112" i="5"/>
  <c r="G111" i="5"/>
  <c r="G110" i="5"/>
  <c r="H108" i="5"/>
  <c r="I108" i="5"/>
  <c r="J108" i="5"/>
  <c r="G108" i="5"/>
  <c r="G107" i="5"/>
  <c r="G106" i="5"/>
  <c r="G105" i="5"/>
  <c r="J23" i="5"/>
  <c r="J20" i="5"/>
  <c r="J18" i="5"/>
  <c r="E209" i="5"/>
  <c r="G204" i="5"/>
  <c r="H204" i="5"/>
  <c r="I204" i="5"/>
  <c r="J204" i="5"/>
  <c r="K204" i="5"/>
  <c r="L204" i="5"/>
  <c r="H76" i="5"/>
  <c r="I76" i="5"/>
  <c r="J76" i="5"/>
  <c r="K76" i="5"/>
  <c r="L76" i="5"/>
  <c r="H72" i="5"/>
  <c r="I72" i="5"/>
  <c r="J72" i="5"/>
  <c r="K72" i="5"/>
  <c r="L72" i="5"/>
  <c r="E62" i="5"/>
  <c r="F62" i="5"/>
  <c r="G62" i="5"/>
  <c r="H62" i="5"/>
  <c r="I62" i="5"/>
  <c r="J62" i="5"/>
  <c r="K62" i="5"/>
  <c r="L62" i="5"/>
  <c r="E52" i="5"/>
  <c r="F52" i="5"/>
  <c r="G52" i="5"/>
  <c r="H52" i="5"/>
  <c r="I52" i="5"/>
  <c r="J52" i="5"/>
  <c r="K52" i="5"/>
  <c r="L52" i="5"/>
  <c r="H47" i="5"/>
  <c r="I47" i="5"/>
  <c r="J47" i="5"/>
  <c r="K47" i="5"/>
  <c r="L47" i="5"/>
  <c r="E47" i="5"/>
  <c r="F47" i="5"/>
  <c r="G47" i="5"/>
  <c r="F14" i="9" l="1"/>
  <c r="G21" i="9"/>
  <c r="D39" i="9" s="1"/>
  <c r="F21" i="9"/>
  <c r="F22" i="9" s="1"/>
  <c r="J13" i="9"/>
  <c r="J14" i="9" s="1"/>
  <c r="I17" i="9"/>
  <c r="D37" i="9" s="1"/>
  <c r="D62" i="9" s="1"/>
  <c r="G13" i="9"/>
  <c r="F13" i="9"/>
  <c r="F17" i="9"/>
  <c r="I13" i="9"/>
  <c r="D33" i="9" s="1"/>
  <c r="D58" i="9" s="1"/>
  <c r="H17" i="9"/>
  <c r="H21" i="9"/>
  <c r="D40" i="9" s="1"/>
  <c r="D65" i="9" s="1"/>
  <c r="J17" i="9"/>
  <c r="J18" i="9" s="1"/>
  <c r="I21" i="9"/>
  <c r="H13" i="9"/>
  <c r="D32" i="9" s="1"/>
  <c r="D57" i="9" s="1"/>
  <c r="G17" i="9"/>
  <c r="J21" i="9"/>
  <c r="J22" i="9" s="1"/>
  <c r="G22" i="9"/>
  <c r="E39" i="9" s="1"/>
  <c r="H14" i="9"/>
  <c r="E32" i="9" s="1"/>
  <c r="I14" i="9"/>
  <c r="E33" i="9" s="1"/>
  <c r="E58" i="9" s="1"/>
  <c r="L112" i="5"/>
  <c r="K108" i="5"/>
  <c r="L108" i="5"/>
  <c r="H39" i="9" l="1"/>
  <c r="E64" i="9"/>
  <c r="D41" i="9"/>
  <c r="I22" i="9"/>
  <c r="E41" i="9" s="1"/>
  <c r="H32" i="9"/>
  <c r="E57" i="9"/>
  <c r="G18" i="9"/>
  <c r="E35" i="9" s="1"/>
  <c r="D35" i="9"/>
  <c r="I18" i="9"/>
  <c r="E37" i="9" s="1"/>
  <c r="H22" i="9"/>
  <c r="E40" i="9" s="1"/>
  <c r="D36" i="9"/>
  <c r="H18" i="9"/>
  <c r="E36" i="9" s="1"/>
  <c r="D31" i="9"/>
  <c r="D56" i="9" s="1"/>
  <c r="G14" i="9"/>
  <c r="E31" i="9" s="1"/>
  <c r="I39" i="9"/>
  <c r="D64" i="9"/>
  <c r="H33" i="9"/>
  <c r="I33" i="9"/>
  <c r="I32" i="9"/>
  <c r="I37" i="9"/>
  <c r="J16" i="5"/>
  <c r="F246" i="8"/>
  <c r="F244" i="8"/>
  <c r="F245" i="8"/>
  <c r="Q29" i="5"/>
  <c r="P29" i="5"/>
  <c r="P30" i="5" s="1"/>
  <c r="P33" i="5" s="1"/>
  <c r="P28" i="5"/>
  <c r="Q28" i="5"/>
  <c r="O29" i="5"/>
  <c r="O30" i="5" s="1"/>
  <c r="O33" i="5" s="1"/>
  <c r="O28" i="5"/>
  <c r="G272" i="5"/>
  <c r="G221" i="5"/>
  <c r="G203" i="5"/>
  <c r="G179" i="5"/>
  <c r="G153" i="5"/>
  <c r="G126" i="5"/>
  <c r="G103" i="5"/>
  <c r="G46" i="5"/>
  <c r="G26" i="5"/>
  <c r="C21" i="5"/>
  <c r="C20" i="5"/>
  <c r="H36" i="9" l="1"/>
  <c r="E61" i="9"/>
  <c r="I35" i="9"/>
  <c r="D60" i="9"/>
  <c r="E66" i="9"/>
  <c r="H41" i="9"/>
  <c r="I36" i="9"/>
  <c r="D61" i="9"/>
  <c r="H35" i="9"/>
  <c r="E60" i="9"/>
  <c r="D66" i="9"/>
  <c r="I41" i="9"/>
  <c r="I31" i="9"/>
  <c r="E56" i="9"/>
  <c r="H31" i="9"/>
  <c r="H40" i="9"/>
  <c r="E65" i="9"/>
  <c r="I40" i="9"/>
  <c r="H37" i="9"/>
  <c r="E62" i="9"/>
  <c r="Q30" i="5"/>
  <c r="Q33" i="5" s="1"/>
  <c r="H364" i="4" l="1"/>
  <c r="I364" i="4" s="1"/>
  <c r="J364" i="4" s="1"/>
  <c r="K364" i="4" s="1"/>
  <c r="L364" i="4" s="1"/>
  <c r="H338" i="4"/>
  <c r="E329" i="4" l="1"/>
  <c r="D54" i="4"/>
  <c r="G246" i="4" s="1"/>
  <c r="I100" i="4"/>
  <c r="J100" i="4"/>
  <c r="K100" i="4" s="1"/>
  <c r="L100" i="4" s="1"/>
  <c r="D101" i="4"/>
  <c r="G352" i="4"/>
  <c r="I148" i="4" l="1"/>
  <c r="J148" i="4"/>
  <c r="K148" i="4"/>
  <c r="L148" i="4"/>
  <c r="H148" i="4"/>
  <c r="I143" i="4"/>
  <c r="J143" i="4"/>
  <c r="K143" i="4"/>
  <c r="L143" i="4"/>
  <c r="H143" i="4"/>
  <c r="F133" i="4"/>
  <c r="H133" i="4"/>
  <c r="I133" i="4"/>
  <c r="J133" i="4"/>
  <c r="K133" i="4"/>
  <c r="L133" i="4"/>
  <c r="E133" i="4"/>
  <c r="H123" i="4"/>
  <c r="I123" i="4"/>
  <c r="J123" i="4"/>
  <c r="K123" i="4"/>
  <c r="L123" i="4"/>
  <c r="G123" i="4"/>
  <c r="F123" i="4"/>
  <c r="E123" i="4"/>
  <c r="G122" i="4"/>
  <c r="F122" i="4"/>
  <c r="E122" i="4"/>
  <c r="H118" i="4"/>
  <c r="I118" i="4"/>
  <c r="J118" i="4"/>
  <c r="K118" i="4"/>
  <c r="L118" i="4"/>
  <c r="G118" i="4"/>
  <c r="F118" i="4"/>
  <c r="E118" i="4"/>
  <c r="G117" i="4"/>
  <c r="F117" i="4"/>
  <c r="E117" i="4"/>
  <c r="C42" i="4"/>
  <c r="D108" i="4"/>
  <c r="D103" i="4"/>
  <c r="C103" i="4"/>
  <c r="C101" i="4"/>
  <c r="D95" i="4"/>
  <c r="C95" i="4"/>
  <c r="D97" i="4"/>
  <c r="C97" i="4"/>
  <c r="D96" i="4"/>
  <c r="C96" i="4"/>
  <c r="D90" i="4"/>
  <c r="C90" i="4"/>
  <c r="D89" i="4"/>
  <c r="C89" i="4"/>
  <c r="D88" i="4"/>
  <c r="C88" i="4"/>
  <c r="D87" i="4"/>
  <c r="C87" i="4"/>
  <c r="D84" i="4"/>
  <c r="D83" i="4"/>
  <c r="D82" i="4"/>
  <c r="C84" i="4"/>
  <c r="C83" i="4"/>
  <c r="C82" i="4"/>
  <c r="D81" i="4"/>
  <c r="G344" i="4"/>
  <c r="G293" i="4"/>
  <c r="G273" i="4"/>
  <c r="G249" i="4"/>
  <c r="G116" i="4"/>
  <c r="G175" i="4"/>
  <c r="G198" i="4"/>
  <c r="G223" i="4"/>
  <c r="D80" i="4"/>
  <c r="C80" i="4"/>
  <c r="C81" i="4"/>
  <c r="C36" i="4"/>
  <c r="J31" i="4"/>
  <c r="J30" i="4"/>
  <c r="J19" i="4"/>
  <c r="J21" i="4"/>
  <c r="I133" i="3" l="1"/>
  <c r="H133" i="3"/>
  <c r="I66" i="3"/>
  <c r="D109" i="3"/>
  <c r="D104" i="3"/>
  <c r="D102" i="3"/>
  <c r="C104" i="3"/>
  <c r="C102" i="3"/>
  <c r="D98" i="3"/>
  <c r="D97" i="3"/>
  <c r="D96" i="3"/>
  <c r="C96" i="3"/>
  <c r="C98" i="3"/>
  <c r="C97" i="3"/>
  <c r="D91" i="3"/>
  <c r="C91" i="3"/>
  <c r="D90" i="3"/>
  <c r="C90" i="3"/>
  <c r="D89" i="3"/>
  <c r="C89" i="3"/>
  <c r="D88" i="3"/>
  <c r="C88" i="3"/>
  <c r="D85" i="3"/>
  <c r="C85" i="3"/>
  <c r="D84" i="3"/>
  <c r="C84" i="3"/>
  <c r="D83" i="3"/>
  <c r="C83" i="3"/>
  <c r="D82" i="3"/>
  <c r="G118" i="3"/>
  <c r="D81" i="3"/>
  <c r="C81" i="3"/>
  <c r="C82" i="3"/>
  <c r="H44" i="3"/>
  <c r="D55" i="3" l="1"/>
  <c r="J10" i="3" l="1"/>
  <c r="J10" i="4" s="1"/>
  <c r="J10" i="5" s="1"/>
  <c r="C36" i="3" l="1"/>
  <c r="C33" i="3"/>
  <c r="C33" i="4" s="1"/>
  <c r="C32" i="3"/>
  <c r="C32" i="4" s="1"/>
  <c r="G15" i="2" l="1"/>
  <c r="J31" i="3"/>
  <c r="J30" i="3"/>
  <c r="J19" i="3"/>
  <c r="J21" i="3"/>
  <c r="G296" i="5" l="1"/>
  <c r="J284" i="5"/>
  <c r="I284" i="5"/>
  <c r="I277" i="5"/>
  <c r="J277" i="5" s="1"/>
  <c r="K277" i="5" s="1"/>
  <c r="L277" i="5" s="1"/>
  <c r="H272" i="5"/>
  <c r="I272" i="5" s="1"/>
  <c r="J272" i="5" s="1"/>
  <c r="K272" i="5" s="1"/>
  <c r="L272" i="5" s="1"/>
  <c r="H221" i="5"/>
  <c r="H203" i="5"/>
  <c r="I203" i="5" s="1"/>
  <c r="J203" i="5" s="1"/>
  <c r="K203" i="5" s="1"/>
  <c r="L203" i="5" s="1"/>
  <c r="L196" i="5"/>
  <c r="K196" i="5"/>
  <c r="J196" i="5"/>
  <c r="I196" i="5"/>
  <c r="H179" i="5"/>
  <c r="I179" i="5" s="1"/>
  <c r="J179" i="5" s="1"/>
  <c r="K179" i="5" s="1"/>
  <c r="L179" i="5" s="1"/>
  <c r="G176" i="5"/>
  <c r="H168" i="5"/>
  <c r="H167" i="5"/>
  <c r="H160" i="5"/>
  <c r="L156" i="5"/>
  <c r="K156" i="5"/>
  <c r="J156" i="5"/>
  <c r="I156" i="5"/>
  <c r="H156" i="5"/>
  <c r="H153" i="5"/>
  <c r="I153" i="5" s="1"/>
  <c r="J153" i="5" s="1"/>
  <c r="K153" i="5" s="1"/>
  <c r="L153" i="5" s="1"/>
  <c r="H147" i="5"/>
  <c r="J142" i="5"/>
  <c r="H141" i="5"/>
  <c r="H196" i="5" s="1"/>
  <c r="K137" i="5"/>
  <c r="J137" i="5"/>
  <c r="I253" i="5"/>
  <c r="L133" i="5"/>
  <c r="K133" i="5"/>
  <c r="J133" i="5"/>
  <c r="I133" i="5"/>
  <c r="H133" i="5"/>
  <c r="H132" i="5"/>
  <c r="H126" i="5"/>
  <c r="I126" i="5" s="1"/>
  <c r="J126" i="5" s="1"/>
  <c r="K126" i="5" s="1"/>
  <c r="L126" i="5" s="1"/>
  <c r="I122" i="5"/>
  <c r="J122" i="5" s="1"/>
  <c r="K122" i="5" s="1"/>
  <c r="G122" i="5"/>
  <c r="I121" i="5"/>
  <c r="J121" i="5" s="1"/>
  <c r="K121" i="5" s="1"/>
  <c r="L121" i="5" s="1"/>
  <c r="G121" i="5"/>
  <c r="I119" i="5"/>
  <c r="J119" i="5" s="1"/>
  <c r="G119" i="5"/>
  <c r="I118" i="5"/>
  <c r="J118" i="5" s="1"/>
  <c r="K118" i="5" s="1"/>
  <c r="L118" i="5" s="1"/>
  <c r="G118" i="5"/>
  <c r="I117" i="5"/>
  <c r="J117" i="5" s="1"/>
  <c r="K117" i="5" s="1"/>
  <c r="L117" i="5" s="1"/>
  <c r="G117" i="5"/>
  <c r="H103" i="5"/>
  <c r="I103" i="5" s="1"/>
  <c r="J103" i="5" s="1"/>
  <c r="K103" i="5" s="1"/>
  <c r="L103" i="5" s="1"/>
  <c r="F103" i="5"/>
  <c r="E103" i="5" s="1"/>
  <c r="L100" i="5"/>
  <c r="K100" i="5"/>
  <c r="I100" i="5"/>
  <c r="H100" i="5"/>
  <c r="L99" i="5"/>
  <c r="K99" i="5"/>
  <c r="I99" i="5"/>
  <c r="H99" i="5"/>
  <c r="L98" i="5"/>
  <c r="K98" i="5"/>
  <c r="I98" i="5"/>
  <c r="H98" i="5"/>
  <c r="I96" i="5"/>
  <c r="J96" i="5" s="1"/>
  <c r="K96" i="5" s="1"/>
  <c r="L96" i="5" s="1"/>
  <c r="L95" i="5"/>
  <c r="K95" i="5"/>
  <c r="I95" i="5"/>
  <c r="H95" i="5"/>
  <c r="L94" i="5"/>
  <c r="K94" i="5"/>
  <c r="I94" i="5"/>
  <c r="H94" i="5"/>
  <c r="L93" i="5"/>
  <c r="K93" i="5"/>
  <c r="I93" i="5"/>
  <c r="H93" i="5"/>
  <c r="K86" i="5"/>
  <c r="L86" i="5" s="1"/>
  <c r="J86" i="5"/>
  <c r="I86" i="5"/>
  <c r="H73" i="5"/>
  <c r="H74" i="5" s="1"/>
  <c r="H128" i="5" s="1"/>
  <c r="I57" i="5"/>
  <c r="F57" i="5"/>
  <c r="F67" i="5" s="1"/>
  <c r="E57" i="5"/>
  <c r="E67" i="5" s="1"/>
  <c r="J57" i="5"/>
  <c r="J67" i="5" s="1"/>
  <c r="J80" i="5" s="1"/>
  <c r="G48" i="5"/>
  <c r="F48" i="5"/>
  <c r="F50" i="5" s="1"/>
  <c r="E48" i="5"/>
  <c r="E50" i="5" s="1"/>
  <c r="K57" i="5"/>
  <c r="K67" i="5" s="1"/>
  <c r="K80" i="5" s="1"/>
  <c r="G57" i="5"/>
  <c r="G67" i="5" s="1"/>
  <c r="H46" i="5"/>
  <c r="I46" i="5" s="1"/>
  <c r="J46" i="5" s="1"/>
  <c r="K46" i="5" s="1"/>
  <c r="L46" i="5" s="1"/>
  <c r="F46" i="5"/>
  <c r="E46" i="5" s="1"/>
  <c r="K43" i="5"/>
  <c r="L43" i="5" s="1"/>
  <c r="I43" i="5"/>
  <c r="J43" i="5" s="1"/>
  <c r="I42" i="5"/>
  <c r="J42" i="5" s="1"/>
  <c r="K42" i="5" s="1"/>
  <c r="L42" i="5" s="1"/>
  <c r="I41" i="5"/>
  <c r="J41" i="5" s="1"/>
  <c r="K41" i="5" s="1"/>
  <c r="L41" i="5" s="1"/>
  <c r="L40" i="5"/>
  <c r="K40" i="5"/>
  <c r="I40" i="5"/>
  <c r="J40" i="5" s="1"/>
  <c r="K39" i="5"/>
  <c r="L39" i="5" s="1"/>
  <c r="I39" i="5"/>
  <c r="J39" i="5" s="1"/>
  <c r="H34" i="5"/>
  <c r="G29" i="5"/>
  <c r="F29" i="5"/>
  <c r="E29" i="5"/>
  <c r="G28" i="5"/>
  <c r="G53" i="5" s="1"/>
  <c r="G55" i="5" s="1"/>
  <c r="H27" i="5"/>
  <c r="H29" i="5" s="1"/>
  <c r="H26" i="5"/>
  <c r="I26" i="5" s="1"/>
  <c r="J26" i="5" s="1"/>
  <c r="K26" i="5" s="1"/>
  <c r="L26" i="5" s="1"/>
  <c r="J8" i="5"/>
  <c r="J11" i="5" s="1"/>
  <c r="B2" i="5"/>
  <c r="G152" i="3"/>
  <c r="L145" i="3"/>
  <c r="K145" i="3"/>
  <c r="J145" i="3"/>
  <c r="I145" i="3"/>
  <c r="H145" i="3"/>
  <c r="K137" i="3"/>
  <c r="I137" i="3"/>
  <c r="H137" i="3"/>
  <c r="I134" i="3"/>
  <c r="K133" i="3"/>
  <c r="H118" i="3"/>
  <c r="I118" i="3" s="1"/>
  <c r="J118" i="3" s="1"/>
  <c r="K118" i="3" s="1"/>
  <c r="L118" i="3" s="1"/>
  <c r="D110" i="3"/>
  <c r="D105" i="3"/>
  <c r="G103" i="3"/>
  <c r="F99" i="3"/>
  <c r="G97" i="3"/>
  <c r="C99" i="3"/>
  <c r="D99" i="3"/>
  <c r="G98" i="3" s="1"/>
  <c r="G96" i="3"/>
  <c r="C92" i="3"/>
  <c r="F90" i="3"/>
  <c r="C71" i="3"/>
  <c r="C73" i="3" s="1"/>
  <c r="G84" i="3"/>
  <c r="G83" i="3"/>
  <c r="I71" i="3"/>
  <c r="F91" i="3"/>
  <c r="I65" i="3"/>
  <c r="C63" i="3"/>
  <c r="C65" i="3" s="1"/>
  <c r="L53" i="3"/>
  <c r="F45" i="3"/>
  <c r="C45" i="3"/>
  <c r="I44" i="3"/>
  <c r="F44" i="3"/>
  <c r="C43" i="3"/>
  <c r="I43" i="3" s="1"/>
  <c r="I42" i="3"/>
  <c r="C26" i="3"/>
  <c r="J25" i="3"/>
  <c r="J27" i="3" s="1"/>
  <c r="J8" i="3"/>
  <c r="J11" i="3" s="1"/>
  <c r="B2" i="3"/>
  <c r="E504" i="4"/>
  <c r="E505" i="4" s="1"/>
  <c r="E506" i="4" s="1"/>
  <c r="E507" i="4" s="1"/>
  <c r="E508" i="4" s="1"/>
  <c r="E509" i="4" s="1"/>
  <c r="E510" i="4" s="1"/>
  <c r="E511" i="4" s="1"/>
  <c r="G502" i="4"/>
  <c r="H502" i="4" s="1"/>
  <c r="I502" i="4" s="1"/>
  <c r="J502" i="4" s="1"/>
  <c r="K502" i="4" s="1"/>
  <c r="L502" i="4" s="1"/>
  <c r="E492" i="4"/>
  <c r="E493" i="4" s="1"/>
  <c r="E487" i="4"/>
  <c r="E488" i="4" s="1"/>
  <c r="E489" i="4" s="1"/>
  <c r="E490" i="4" s="1"/>
  <c r="E491" i="4" s="1"/>
  <c r="E486" i="4"/>
  <c r="G484" i="4"/>
  <c r="H484" i="4" s="1"/>
  <c r="I484" i="4" s="1"/>
  <c r="J484" i="4" s="1"/>
  <c r="K484" i="4" s="1"/>
  <c r="L484" i="4" s="1"/>
  <c r="E472" i="4"/>
  <c r="E473" i="4" s="1"/>
  <c r="E474" i="4" s="1"/>
  <c r="E475" i="4" s="1"/>
  <c r="E470" i="4"/>
  <c r="E469" i="4"/>
  <c r="E468" i="4" s="1"/>
  <c r="E467" i="4" s="1"/>
  <c r="L466" i="4"/>
  <c r="G466" i="4"/>
  <c r="H466" i="4" s="1"/>
  <c r="I466" i="4" s="1"/>
  <c r="J466" i="4" s="1"/>
  <c r="K466" i="4" s="1"/>
  <c r="E457" i="4"/>
  <c r="E454" i="4"/>
  <c r="E455" i="4" s="1"/>
  <c r="E456" i="4" s="1"/>
  <c r="E453" i="4"/>
  <c r="E450" i="4"/>
  <c r="E451" i="4" s="1"/>
  <c r="E452" i="4" s="1"/>
  <c r="L448" i="4"/>
  <c r="I448" i="4"/>
  <c r="J448" i="4" s="1"/>
  <c r="K448" i="4" s="1"/>
  <c r="H448" i="4"/>
  <c r="G448" i="4"/>
  <c r="E437" i="4"/>
  <c r="E438" i="4" s="1"/>
  <c r="E439" i="4" s="1"/>
  <c r="E436" i="4"/>
  <c r="E433" i="4"/>
  <c r="E434" i="4" s="1"/>
  <c r="E435" i="4" s="1"/>
  <c r="E432" i="4"/>
  <c r="J430" i="4"/>
  <c r="K430" i="4" s="1"/>
  <c r="L430" i="4" s="1"/>
  <c r="I430" i="4"/>
  <c r="G430" i="4"/>
  <c r="H430" i="4" s="1"/>
  <c r="L428" i="4"/>
  <c r="E419" i="4"/>
  <c r="E420" i="4" s="1"/>
  <c r="E421" i="4" s="1"/>
  <c r="E416" i="4"/>
  <c r="E417" i="4" s="1"/>
  <c r="E418" i="4" s="1"/>
  <c r="E415" i="4"/>
  <c r="E414" i="4"/>
  <c r="K412" i="4"/>
  <c r="L412" i="4" s="1"/>
  <c r="J412" i="4"/>
  <c r="G412" i="4"/>
  <c r="H412" i="4" s="1"/>
  <c r="I412" i="4" s="1"/>
  <c r="E398" i="4"/>
  <c r="E399" i="4" s="1"/>
  <c r="E400" i="4" s="1"/>
  <c r="E401" i="4" s="1"/>
  <c r="E402" i="4" s="1"/>
  <c r="E403" i="4" s="1"/>
  <c r="E396" i="4"/>
  <c r="E397" i="4" s="1"/>
  <c r="H394" i="4"/>
  <c r="I394" i="4" s="1"/>
  <c r="J394" i="4" s="1"/>
  <c r="K394" i="4" s="1"/>
  <c r="L394" i="4" s="1"/>
  <c r="G394" i="4"/>
  <c r="H360" i="4"/>
  <c r="I360" i="4" s="1"/>
  <c r="J360" i="4" s="1"/>
  <c r="K360" i="4" s="1"/>
  <c r="L360" i="4" s="1"/>
  <c r="I357" i="4"/>
  <c r="J357" i="4" s="1"/>
  <c r="K357" i="4" s="1"/>
  <c r="L357" i="4" s="1"/>
  <c r="I356" i="4"/>
  <c r="J356" i="4" s="1"/>
  <c r="K356" i="4" s="1"/>
  <c r="L356" i="4" s="1"/>
  <c r="G349" i="4"/>
  <c r="H344" i="4"/>
  <c r="I344" i="4" s="1"/>
  <c r="J344" i="4" s="1"/>
  <c r="K344" i="4" s="1"/>
  <c r="L344" i="4" s="1"/>
  <c r="F302" i="4"/>
  <c r="H293" i="4"/>
  <c r="F285" i="4"/>
  <c r="F284" i="4"/>
  <c r="E280" i="4"/>
  <c r="E279" i="4"/>
  <c r="F278" i="4"/>
  <c r="E278" i="4"/>
  <c r="F277" i="4"/>
  <c r="E277" i="4"/>
  <c r="H273" i="4"/>
  <c r="I273" i="4" s="1"/>
  <c r="J273" i="4" s="1"/>
  <c r="K273" i="4" s="1"/>
  <c r="L273" i="4" s="1"/>
  <c r="H249" i="4"/>
  <c r="I249" i="4" s="1"/>
  <c r="J249" i="4" s="1"/>
  <c r="K249" i="4" s="1"/>
  <c r="L249" i="4" s="1"/>
  <c r="E233" i="4"/>
  <c r="L226" i="4"/>
  <c r="K226" i="4"/>
  <c r="J226" i="4"/>
  <c r="I226" i="4"/>
  <c r="H226" i="4"/>
  <c r="H223" i="4"/>
  <c r="I223" i="4" s="1"/>
  <c r="J223" i="4" s="1"/>
  <c r="K223" i="4" s="1"/>
  <c r="L223" i="4" s="1"/>
  <c r="F198" i="4"/>
  <c r="E198" i="4" s="1"/>
  <c r="H175" i="4"/>
  <c r="I175" i="4" s="1"/>
  <c r="J175" i="4" s="1"/>
  <c r="K175" i="4" s="1"/>
  <c r="L175" i="4" s="1"/>
  <c r="F175" i="4"/>
  <c r="E175" i="4"/>
  <c r="K172" i="4"/>
  <c r="L172" i="4" s="1"/>
  <c r="I172" i="4"/>
  <c r="H172" i="4"/>
  <c r="K171" i="4"/>
  <c r="L171" i="4" s="1"/>
  <c r="I171" i="4"/>
  <c r="H171" i="4"/>
  <c r="K170" i="4"/>
  <c r="L170" i="4" s="1"/>
  <c r="I170" i="4"/>
  <c r="H170" i="4"/>
  <c r="I168" i="4"/>
  <c r="J168" i="4" s="1"/>
  <c r="K168" i="4" s="1"/>
  <c r="L168" i="4" s="1"/>
  <c r="K167" i="4"/>
  <c r="L167" i="4" s="1"/>
  <c r="I167" i="4"/>
  <c r="H167" i="4"/>
  <c r="K166" i="4"/>
  <c r="L166" i="4" s="1"/>
  <c r="I166" i="4"/>
  <c r="H166" i="4"/>
  <c r="K165" i="4"/>
  <c r="L165" i="4" s="1"/>
  <c r="I165" i="4"/>
  <c r="H165" i="4"/>
  <c r="I158" i="4"/>
  <c r="J158" i="4" s="1"/>
  <c r="K158" i="4" s="1"/>
  <c r="L158" i="4" s="1"/>
  <c r="L128" i="4"/>
  <c r="L138" i="4" s="1"/>
  <c r="L153" i="4" s="1"/>
  <c r="H128" i="4"/>
  <c r="H138" i="4" s="1"/>
  <c r="H153" i="4" s="1"/>
  <c r="E128" i="4"/>
  <c r="E138" i="4" s="1"/>
  <c r="E127" i="4"/>
  <c r="E125" i="4"/>
  <c r="G125" i="4"/>
  <c r="F125" i="4"/>
  <c r="E120" i="4"/>
  <c r="K128" i="4"/>
  <c r="K138" i="4" s="1"/>
  <c r="K153" i="4" s="1"/>
  <c r="J128" i="4"/>
  <c r="J138" i="4" s="1"/>
  <c r="J153" i="4" s="1"/>
  <c r="I128" i="4"/>
  <c r="I138" i="4" s="1"/>
  <c r="I153" i="4" s="1"/>
  <c r="G128" i="4"/>
  <c r="G138" i="4" s="1"/>
  <c r="F18" i="9" s="1"/>
  <c r="F128" i="4"/>
  <c r="F138" i="4" s="1"/>
  <c r="H116" i="4"/>
  <c r="I116" i="4" s="1"/>
  <c r="J116" i="4" s="1"/>
  <c r="K116" i="4" s="1"/>
  <c r="L116" i="4" s="1"/>
  <c r="F116" i="4"/>
  <c r="E116" i="4" s="1"/>
  <c r="D109" i="4"/>
  <c r="F108" i="4"/>
  <c r="D104" i="4"/>
  <c r="C104" i="4"/>
  <c r="G102" i="4"/>
  <c r="G100" i="4"/>
  <c r="F98" i="4"/>
  <c r="C98" i="4"/>
  <c r="G97" i="4"/>
  <c r="G183" i="4" s="1"/>
  <c r="G96" i="4"/>
  <c r="G182" i="4" s="1"/>
  <c r="D98" i="4"/>
  <c r="G95" i="4"/>
  <c r="H95" i="4" s="1"/>
  <c r="F89" i="4"/>
  <c r="C62" i="4"/>
  <c r="C64" i="4" s="1"/>
  <c r="G84" i="4"/>
  <c r="G179" i="4" s="1"/>
  <c r="G83" i="4"/>
  <c r="G178" i="4" s="1"/>
  <c r="G82" i="4"/>
  <c r="G177" i="4" s="1"/>
  <c r="D85" i="4"/>
  <c r="C85" i="4"/>
  <c r="H80" i="4"/>
  <c r="I80" i="4" s="1"/>
  <c r="J80" i="4" s="1"/>
  <c r="K80" i="4" s="1"/>
  <c r="L80" i="4" s="1"/>
  <c r="I70" i="4"/>
  <c r="F103" i="4" s="1"/>
  <c r="F104" i="4" s="1"/>
  <c r="C70" i="4"/>
  <c r="C72" i="4" s="1"/>
  <c r="I65" i="4"/>
  <c r="F90" i="4" s="1"/>
  <c r="I64" i="4"/>
  <c r="L52" i="4"/>
  <c r="E284" i="4" s="1"/>
  <c r="H284" i="4" s="1"/>
  <c r="F44" i="4"/>
  <c r="C44" i="4"/>
  <c r="F43" i="4"/>
  <c r="I42" i="4"/>
  <c r="I41" i="4"/>
  <c r="C26" i="4"/>
  <c r="J25" i="4"/>
  <c r="J22" i="4"/>
  <c r="J28" i="4" s="1"/>
  <c r="F390" i="4" s="1"/>
  <c r="J8" i="4"/>
  <c r="J11" i="4" s="1"/>
  <c r="B2" i="4"/>
  <c r="I27" i="5" l="1"/>
  <c r="I48" i="5" s="1"/>
  <c r="I49" i="5" s="1"/>
  <c r="H32" i="5"/>
  <c r="H35" i="5" s="1"/>
  <c r="F28" i="5"/>
  <c r="F53" i="5" s="1"/>
  <c r="E28" i="5"/>
  <c r="E53" i="5" s="1"/>
  <c r="E55" i="5" s="1"/>
  <c r="E60" i="5" s="1"/>
  <c r="J27" i="5"/>
  <c r="J29" i="5" s="1"/>
  <c r="G58" i="5"/>
  <c r="I29" i="5"/>
  <c r="H48" i="5"/>
  <c r="H49" i="5" s="1"/>
  <c r="E58" i="5"/>
  <c r="F126" i="5"/>
  <c r="E126" i="5" s="1"/>
  <c r="D106" i="4"/>
  <c r="I69" i="4" s="1"/>
  <c r="C106" i="4"/>
  <c r="G184" i="4"/>
  <c r="J134" i="3"/>
  <c r="L133" i="3"/>
  <c r="F104" i="3"/>
  <c r="F105" i="3" s="1"/>
  <c r="F107" i="3" s="1"/>
  <c r="F92" i="3"/>
  <c r="G99" i="3"/>
  <c r="D107" i="3"/>
  <c r="I70" i="3" s="1"/>
  <c r="J22" i="3"/>
  <c r="J28" i="3" s="1"/>
  <c r="J29" i="3" s="1"/>
  <c r="F58" i="5"/>
  <c r="F55" i="5"/>
  <c r="F60" i="5" s="1"/>
  <c r="H253" i="5"/>
  <c r="H137" i="5"/>
  <c r="H173" i="5"/>
  <c r="G190" i="5"/>
  <c r="H57" i="5"/>
  <c r="H67" i="5" s="1"/>
  <c r="H80" i="5" s="1"/>
  <c r="I131" i="5"/>
  <c r="H195" i="5"/>
  <c r="G279" i="5"/>
  <c r="H275" i="5" s="1"/>
  <c r="H280" i="5"/>
  <c r="I280" i="5" s="1"/>
  <c r="J280" i="5" s="1"/>
  <c r="K280" i="5" s="1"/>
  <c r="L280" i="5" s="1"/>
  <c r="F26" i="5"/>
  <c r="E26" i="5" s="1"/>
  <c r="H31" i="5"/>
  <c r="H63" i="5" s="1"/>
  <c r="H77" i="5"/>
  <c r="H78" i="5" s="1"/>
  <c r="H129" i="5" s="1"/>
  <c r="I34" i="5"/>
  <c r="I67" i="5"/>
  <c r="I80" i="5" s="1"/>
  <c r="H64" i="5"/>
  <c r="H65" i="5" s="1"/>
  <c r="H174" i="5"/>
  <c r="J48" i="5"/>
  <c r="J49" i="5" s="1"/>
  <c r="J32" i="5"/>
  <c r="J31" i="5" s="1"/>
  <c r="K27" i="5"/>
  <c r="L195" i="5"/>
  <c r="L253" i="5"/>
  <c r="L137" i="5"/>
  <c r="J28" i="5"/>
  <c r="J53" i="5" s="1"/>
  <c r="L57" i="5"/>
  <c r="L67" i="5" s="1"/>
  <c r="L80" i="5" s="1"/>
  <c r="G50" i="5"/>
  <c r="G60" i="5" s="1"/>
  <c r="K119" i="5"/>
  <c r="L122" i="5"/>
  <c r="I195" i="5"/>
  <c r="H234" i="5"/>
  <c r="I221" i="5"/>
  <c r="H252" i="5"/>
  <c r="K284" i="5"/>
  <c r="J253" i="5"/>
  <c r="J195" i="5"/>
  <c r="I137" i="5"/>
  <c r="K142" i="5"/>
  <c r="H28" i="5"/>
  <c r="H53" i="5" s="1"/>
  <c r="I50" i="5"/>
  <c r="K253" i="5"/>
  <c r="K195" i="5"/>
  <c r="H155" i="5"/>
  <c r="C75" i="3"/>
  <c r="I64" i="3"/>
  <c r="E88" i="3"/>
  <c r="G88" i="3" s="1"/>
  <c r="I63" i="3"/>
  <c r="C67" i="3"/>
  <c r="F82" i="3"/>
  <c r="D92" i="3"/>
  <c r="G91" i="3" s="1"/>
  <c r="C105" i="3"/>
  <c r="C107" i="3" s="1"/>
  <c r="D86" i="3"/>
  <c r="F109" i="3"/>
  <c r="F110" i="3" s="1"/>
  <c r="K134" i="3"/>
  <c r="C86" i="3"/>
  <c r="C94" i="3" s="1"/>
  <c r="G101" i="3"/>
  <c r="L137" i="3"/>
  <c r="I62" i="4"/>
  <c r="C66" i="4"/>
  <c r="E87" i="4"/>
  <c r="G87" i="4" s="1"/>
  <c r="I95" i="4"/>
  <c r="C91" i="4"/>
  <c r="C93" i="4" s="1"/>
  <c r="I284" i="4"/>
  <c r="D91" i="4"/>
  <c r="D93" i="4" s="1"/>
  <c r="F106" i="4"/>
  <c r="I63" i="4"/>
  <c r="G98" i="4"/>
  <c r="F127" i="4"/>
  <c r="F120" i="4"/>
  <c r="F130" i="4" s="1"/>
  <c r="L426" i="4"/>
  <c r="J29" i="4"/>
  <c r="F81" i="4"/>
  <c r="C74" i="4"/>
  <c r="G180" i="4"/>
  <c r="F91" i="4"/>
  <c r="G90" i="4"/>
  <c r="H90" i="4" s="1"/>
  <c r="I90" i="4" s="1"/>
  <c r="J90" i="4" s="1"/>
  <c r="K90" i="4" s="1"/>
  <c r="L90" i="4" s="1"/>
  <c r="E130" i="4"/>
  <c r="K500" i="4"/>
  <c r="K498" i="4" s="1"/>
  <c r="G500" i="4"/>
  <c r="G498" i="4" s="1"/>
  <c r="L482" i="4"/>
  <c r="L480" i="4" s="1"/>
  <c r="H482" i="4"/>
  <c r="H480" i="4" s="1"/>
  <c r="I464" i="4"/>
  <c r="I462" i="4" s="1"/>
  <c r="J446" i="4"/>
  <c r="J444" i="4" s="1"/>
  <c r="F446" i="4"/>
  <c r="F444" i="4" s="1"/>
  <c r="K428" i="4"/>
  <c r="K426" i="4" s="1"/>
  <c r="G428" i="4"/>
  <c r="G426" i="4" s="1"/>
  <c r="L410" i="4"/>
  <c r="L408" i="4" s="1"/>
  <c r="H410" i="4"/>
  <c r="H408" i="4" s="1"/>
  <c r="I392" i="4"/>
  <c r="I390" i="4" s="1"/>
  <c r="J500" i="4"/>
  <c r="J498" i="4" s="1"/>
  <c r="F500" i="4"/>
  <c r="F498" i="4" s="1"/>
  <c r="K482" i="4"/>
  <c r="K480" i="4" s="1"/>
  <c r="G482" i="4"/>
  <c r="G480" i="4" s="1"/>
  <c r="L464" i="4"/>
  <c r="L462" i="4" s="1"/>
  <c r="H464" i="4"/>
  <c r="H462" i="4" s="1"/>
  <c r="I446" i="4"/>
  <c r="I444" i="4" s="1"/>
  <c r="J428" i="4"/>
  <c r="J426" i="4" s="1"/>
  <c r="F428" i="4"/>
  <c r="F426" i="4" s="1"/>
  <c r="K410" i="4"/>
  <c r="K408" i="4" s="1"/>
  <c r="G410" i="4"/>
  <c r="G408" i="4" s="1"/>
  <c r="L392" i="4"/>
  <c r="L390" i="4" s="1"/>
  <c r="H392" i="4"/>
  <c r="H390" i="4" s="1"/>
  <c r="L500" i="4"/>
  <c r="L498" i="4" s="1"/>
  <c r="J482" i="4"/>
  <c r="J480" i="4" s="1"/>
  <c r="J464" i="4"/>
  <c r="J462" i="4" s="1"/>
  <c r="H446" i="4"/>
  <c r="H444" i="4" s="1"/>
  <c r="H428" i="4"/>
  <c r="H426" i="4" s="1"/>
  <c r="F410" i="4"/>
  <c r="F408" i="4" s="1"/>
  <c r="F392" i="4"/>
  <c r="I500" i="4"/>
  <c r="I498" i="4" s="1"/>
  <c r="I482" i="4"/>
  <c r="I480" i="4" s="1"/>
  <c r="G464" i="4"/>
  <c r="G462" i="4" s="1"/>
  <c r="G446" i="4"/>
  <c r="G444" i="4" s="1"/>
  <c r="K392" i="4"/>
  <c r="K390" i="4" s="1"/>
  <c r="H500" i="4"/>
  <c r="H498" i="4" s="1"/>
  <c r="F482" i="4"/>
  <c r="F480" i="4" s="1"/>
  <c r="L446" i="4"/>
  <c r="L444" i="4" s="1"/>
  <c r="I428" i="4"/>
  <c r="I426" i="4" s="1"/>
  <c r="J392" i="4"/>
  <c r="J390" i="4" s="1"/>
  <c r="K464" i="4"/>
  <c r="K462" i="4" s="1"/>
  <c r="K446" i="4"/>
  <c r="K444" i="4" s="1"/>
  <c r="G392" i="4"/>
  <c r="G390" i="4" s="1"/>
  <c r="I410" i="4"/>
  <c r="I408" i="4" s="1"/>
  <c r="G127" i="4"/>
  <c r="G120" i="4"/>
  <c r="G130" i="4" s="1"/>
  <c r="H198" i="4"/>
  <c r="I198" i="4" s="1"/>
  <c r="J198" i="4" s="1"/>
  <c r="K198" i="4" s="1"/>
  <c r="L198" i="4" s="1"/>
  <c r="J410" i="4"/>
  <c r="J408" i="4" s="1"/>
  <c r="F464" i="4"/>
  <c r="F462" i="4" s="1"/>
  <c r="I293" i="4"/>
  <c r="H324" i="4"/>
  <c r="H306" i="4"/>
  <c r="H254" i="5" l="1"/>
  <c r="G82" i="3"/>
  <c r="L144" i="3"/>
  <c r="I144" i="3"/>
  <c r="H144" i="3"/>
  <c r="J144" i="3"/>
  <c r="K144" i="3"/>
  <c r="G186" i="4"/>
  <c r="I32" i="5"/>
  <c r="I31" i="5" s="1"/>
  <c r="I63" i="5" s="1"/>
  <c r="I28" i="5"/>
  <c r="I53" i="5" s="1"/>
  <c r="I58" i="5" s="1"/>
  <c r="D111" i="4"/>
  <c r="D113" i="4" s="1"/>
  <c r="J32" i="3"/>
  <c r="J34" i="3" s="1"/>
  <c r="J34" i="4" s="1"/>
  <c r="C42" i="3"/>
  <c r="D112" i="3"/>
  <c r="D114" i="3" s="1"/>
  <c r="D94" i="3"/>
  <c r="I62" i="3" s="1"/>
  <c r="I67" i="3" s="1"/>
  <c r="G85" i="3"/>
  <c r="G86" i="3" s="1"/>
  <c r="H54" i="5"/>
  <c r="H59" i="5" s="1"/>
  <c r="J34" i="5"/>
  <c r="I73" i="5"/>
  <c r="I74" i="5" s="1"/>
  <c r="I128" i="5" s="1"/>
  <c r="I77" i="5"/>
  <c r="I78" i="5" s="1"/>
  <c r="I129" i="5" s="1"/>
  <c r="H50" i="5"/>
  <c r="G187" i="5"/>
  <c r="I252" i="5"/>
  <c r="I254" i="5" s="1"/>
  <c r="J221" i="5"/>
  <c r="I234" i="5"/>
  <c r="J58" i="5"/>
  <c r="J50" i="5"/>
  <c r="H58" i="5"/>
  <c r="H68" i="5" s="1"/>
  <c r="H81" i="5" s="1"/>
  <c r="H257" i="5"/>
  <c r="H224" i="5"/>
  <c r="K32" i="5"/>
  <c r="L27" i="5"/>
  <c r="K29" i="5"/>
  <c r="K48" i="5"/>
  <c r="K49" i="5" s="1"/>
  <c r="I54" i="5"/>
  <c r="I55" i="5" s="1"/>
  <c r="I60" i="5" s="1"/>
  <c r="L142" i="5"/>
  <c r="L284" i="5"/>
  <c r="J35" i="5"/>
  <c r="L119" i="5"/>
  <c r="I75" i="3"/>
  <c r="F86" i="3"/>
  <c r="L134" i="3"/>
  <c r="I61" i="4"/>
  <c r="I66" i="4" s="1"/>
  <c r="F85" i="4"/>
  <c r="G81" i="4"/>
  <c r="J284" i="4"/>
  <c r="J95" i="4"/>
  <c r="I149" i="4"/>
  <c r="L149" i="4"/>
  <c r="H149" i="4"/>
  <c r="J149" i="4"/>
  <c r="K149" i="4"/>
  <c r="I144" i="4"/>
  <c r="L144" i="4"/>
  <c r="H144" i="4"/>
  <c r="K144" i="4"/>
  <c r="J144" i="4"/>
  <c r="I324" i="4"/>
  <c r="I306" i="4"/>
  <c r="J293" i="4"/>
  <c r="H243" i="4"/>
  <c r="H244" i="4" s="1"/>
  <c r="I74" i="4"/>
  <c r="J32" i="4"/>
  <c r="C41" i="4"/>
  <c r="I35" i="5" l="1"/>
  <c r="I59" i="5"/>
  <c r="K31" i="5"/>
  <c r="L29" i="5"/>
  <c r="L28" i="5" s="1"/>
  <c r="L53" i="5" s="1"/>
  <c r="L48" i="5"/>
  <c r="L49" i="5" s="1"/>
  <c r="L32" i="5"/>
  <c r="I258" i="5"/>
  <c r="I224" i="5"/>
  <c r="J73" i="5"/>
  <c r="J74" i="5" s="1"/>
  <c r="J128" i="5" s="1"/>
  <c r="J77" i="5"/>
  <c r="J78" i="5" s="1"/>
  <c r="J129" i="5" s="1"/>
  <c r="K34" i="5"/>
  <c r="K35" i="5" s="1"/>
  <c r="H55" i="5"/>
  <c r="K50" i="5"/>
  <c r="I68" i="5"/>
  <c r="I81" i="5" s="1"/>
  <c r="I64" i="5"/>
  <c r="I65" i="5" s="1"/>
  <c r="I70" i="5" s="1"/>
  <c r="H262" i="5"/>
  <c r="H263" i="5" s="1"/>
  <c r="H225" i="5" s="1"/>
  <c r="I257" i="5"/>
  <c r="K28" i="5"/>
  <c r="K53" i="5" s="1"/>
  <c r="K58" i="5" s="1"/>
  <c r="J54" i="5"/>
  <c r="J55" i="5" s="1"/>
  <c r="J252" i="5"/>
  <c r="J254" i="5" s="1"/>
  <c r="K221" i="5"/>
  <c r="J234" i="5"/>
  <c r="J63" i="5"/>
  <c r="J306" i="4"/>
  <c r="J324" i="4"/>
  <c r="K293" i="4"/>
  <c r="K284" i="4"/>
  <c r="H217" i="4"/>
  <c r="G85" i="4"/>
  <c r="K95" i="4"/>
  <c r="J60" i="5" l="1"/>
  <c r="J59" i="5"/>
  <c r="K73" i="5"/>
  <c r="K74" i="5" s="1"/>
  <c r="K128" i="5" s="1"/>
  <c r="K77" i="5"/>
  <c r="K78" i="5" s="1"/>
  <c r="K129" i="5" s="1"/>
  <c r="L34" i="5"/>
  <c r="J258" i="5"/>
  <c r="K258" i="5" s="1"/>
  <c r="L258" i="5" s="1"/>
  <c r="I262" i="5"/>
  <c r="J64" i="5"/>
  <c r="J65" i="5" s="1"/>
  <c r="K54" i="5"/>
  <c r="K55" i="5" s="1"/>
  <c r="J68" i="5"/>
  <c r="J81" i="5" s="1"/>
  <c r="L31" i="5"/>
  <c r="L58" i="5"/>
  <c r="K234" i="5"/>
  <c r="L221" i="5"/>
  <c r="K252" i="5"/>
  <c r="K254" i="5" s="1"/>
  <c r="G257" i="5" a="1"/>
  <c r="J259" i="5"/>
  <c r="J224" i="5"/>
  <c r="I192" i="5"/>
  <c r="I69" i="5"/>
  <c r="I83" i="5"/>
  <c r="J257" i="5"/>
  <c r="I263" i="5"/>
  <c r="I225" i="5" s="1"/>
  <c r="H60" i="5"/>
  <c r="H70" i="5" s="1"/>
  <c r="K63" i="5"/>
  <c r="K68" i="5" s="1"/>
  <c r="K81" i="5" s="1"/>
  <c r="K306" i="4"/>
  <c r="L293" i="4"/>
  <c r="K324" i="4"/>
  <c r="L95" i="4"/>
  <c r="L284" i="4"/>
  <c r="H225" i="4"/>
  <c r="K60" i="5" l="1"/>
  <c r="K257" i="5"/>
  <c r="K64" i="5"/>
  <c r="K65" i="5" s="1"/>
  <c r="I235" i="5"/>
  <c r="I237" i="5" s="1"/>
  <c r="K260" i="5"/>
  <c r="K224" i="5"/>
  <c r="L54" i="5"/>
  <c r="L55" i="5" s="1"/>
  <c r="L77" i="5"/>
  <c r="L78" i="5" s="1"/>
  <c r="L129" i="5" s="1"/>
  <c r="L73" i="5"/>
  <c r="L74" i="5" s="1"/>
  <c r="L128" i="5" s="1"/>
  <c r="J70" i="5"/>
  <c r="L35" i="5"/>
  <c r="H69" i="5"/>
  <c r="H192" i="5"/>
  <c r="H83" i="5"/>
  <c r="H235" i="5" s="1"/>
  <c r="H237" i="5" s="1"/>
  <c r="I82" i="5"/>
  <c r="K259" i="5"/>
  <c r="L259" i="5" s="1"/>
  <c r="J262" i="5"/>
  <c r="J263" i="5" s="1"/>
  <c r="J225" i="5" s="1"/>
  <c r="L234" i="5"/>
  <c r="L252" i="5"/>
  <c r="L254" i="5" s="1"/>
  <c r="L50" i="5"/>
  <c r="K59" i="5"/>
  <c r="G261" i="5"/>
  <c r="B261" i="5" s="1"/>
  <c r="G257" i="5"/>
  <c r="B257" i="5" s="1"/>
  <c r="G260" i="5"/>
  <c r="B260" i="5" s="1"/>
  <c r="G258" i="5"/>
  <c r="B258" i="5" s="1"/>
  <c r="G259" i="5"/>
  <c r="B259" i="5" s="1"/>
  <c r="L63" i="5"/>
  <c r="J115" i="5"/>
  <c r="J130" i="5" s="1"/>
  <c r="J198" i="5" s="1"/>
  <c r="L324" i="4"/>
  <c r="L306" i="4"/>
  <c r="G329" i="4" a="1"/>
  <c r="H115" i="5" l="1"/>
  <c r="H130" i="5" s="1"/>
  <c r="H198" i="5" s="1"/>
  <c r="I115" i="5"/>
  <c r="I130" i="5" s="1"/>
  <c r="I198" i="5" s="1"/>
  <c r="L64" i="5"/>
  <c r="L65" i="5"/>
  <c r="L261" i="5"/>
  <c r="L262" i="5" s="1"/>
  <c r="L224" i="5"/>
  <c r="K70" i="5"/>
  <c r="L68" i="5"/>
  <c r="L81" i="5" s="1"/>
  <c r="L60" i="5"/>
  <c r="K262" i="5"/>
  <c r="K263" i="5" s="1"/>
  <c r="K225" i="5" s="1"/>
  <c r="L260" i="5"/>
  <c r="K115" i="5"/>
  <c r="K130" i="5" s="1"/>
  <c r="K198" i="5" s="1"/>
  <c r="H82" i="5"/>
  <c r="J192" i="5"/>
  <c r="J83" i="5"/>
  <c r="J69" i="5"/>
  <c r="L59" i="5"/>
  <c r="L257" i="5"/>
  <c r="L263" i="5" s="1"/>
  <c r="L225" i="5" s="1"/>
  <c r="G333" i="4"/>
  <c r="B333" i="4" s="1"/>
  <c r="G329" i="4"/>
  <c r="B329" i="4" s="1"/>
  <c r="G332" i="4"/>
  <c r="B332" i="4" s="1"/>
  <c r="G330" i="4"/>
  <c r="B330" i="4" s="1"/>
  <c r="G331" i="4"/>
  <c r="B331" i="4" s="1"/>
  <c r="J82" i="5" l="1"/>
  <c r="J235" i="5"/>
  <c r="J237" i="5" s="1"/>
  <c r="L70" i="5"/>
  <c r="K83" i="5"/>
  <c r="K192" i="5"/>
  <c r="K69" i="5"/>
  <c r="L115" i="5" l="1"/>
  <c r="L130" i="5" s="1"/>
  <c r="L198" i="5" s="1"/>
  <c r="K82" i="5"/>
  <c r="K235" i="5"/>
  <c r="K237" i="5" s="1"/>
  <c r="L192" i="5"/>
  <c r="L69" i="5"/>
  <c r="L83" i="5"/>
  <c r="L82" i="5" l="1"/>
  <c r="L235" i="5"/>
  <c r="L237" i="5" s="1"/>
  <c r="F218" i="2" l="1"/>
  <c r="F217" i="2"/>
  <c r="D219" i="2"/>
  <c r="E219" i="2"/>
  <c r="F52" i="2"/>
  <c r="F51" i="2"/>
  <c r="F50" i="2"/>
  <c r="F49" i="2"/>
  <c r="F226" i="2"/>
  <c r="H186" i="2" l="1"/>
  <c r="I186" i="2" s="1"/>
  <c r="J186" i="2" s="1"/>
  <c r="K186" i="2" s="1"/>
  <c r="G186" i="2"/>
  <c r="H172" i="2"/>
  <c r="I172" i="2"/>
  <c r="J172" i="2"/>
  <c r="K172" i="2"/>
  <c r="G172" i="2"/>
  <c r="H136" i="2"/>
  <c r="I136" i="2" s="1"/>
  <c r="J136" i="2" s="1"/>
  <c r="K136" i="2" s="1"/>
  <c r="G136" i="2"/>
  <c r="H135" i="2"/>
  <c r="I135" i="2" s="1"/>
  <c r="J135" i="2" s="1"/>
  <c r="K135" i="2" s="1"/>
  <c r="G135" i="2"/>
  <c r="H132" i="2"/>
  <c r="I132" i="2"/>
  <c r="J132" i="2" s="1"/>
  <c r="K132" i="2" s="1"/>
  <c r="G132" i="2"/>
  <c r="F15" i="2" l="1"/>
  <c r="H118" i="2"/>
  <c r="I118" i="2" s="1"/>
  <c r="J118" i="2" s="1"/>
  <c r="K118" i="2" s="1"/>
  <c r="G118" i="2"/>
  <c r="H117" i="2"/>
  <c r="I117" i="2"/>
  <c r="J117" i="2"/>
  <c r="K117" i="2"/>
  <c r="G117" i="2"/>
  <c r="H115" i="2"/>
  <c r="I115" i="2" s="1"/>
  <c r="J115" i="2" s="1"/>
  <c r="K115" i="2" s="1"/>
  <c r="G115" i="2"/>
  <c r="H114" i="2" l="1"/>
  <c r="I114" i="2" s="1"/>
  <c r="J114" i="2" s="1"/>
  <c r="K114" i="2" s="1"/>
  <c r="G114" i="2"/>
  <c r="H113" i="2"/>
  <c r="I113" i="2" s="1"/>
  <c r="J113" i="2" s="1"/>
  <c r="K113" i="2" s="1"/>
  <c r="G113" i="2"/>
  <c r="C76" i="2"/>
  <c r="D76" i="2"/>
  <c r="E76" i="2"/>
  <c r="C37" i="2" l="1"/>
  <c r="D37" i="2"/>
  <c r="E37" i="2"/>
  <c r="B268" i="8" l="1"/>
  <c r="B269" i="8" s="1"/>
  <c r="B270" i="8" s="1"/>
  <c r="B271" i="8" s="1"/>
  <c r="G246" i="8"/>
  <c r="H246" i="8" s="1"/>
  <c r="I246" i="8" s="1"/>
  <c r="J246" i="8" s="1"/>
  <c r="K246" i="8" s="1"/>
  <c r="E246" i="8"/>
  <c r="D246" i="8"/>
  <c r="G245" i="8"/>
  <c r="H245" i="8" s="1"/>
  <c r="I245" i="8" s="1"/>
  <c r="J245" i="8" s="1"/>
  <c r="K245" i="8" s="1"/>
  <c r="E245" i="8"/>
  <c r="D245" i="8"/>
  <c r="G244" i="8"/>
  <c r="H244" i="8" s="1"/>
  <c r="I244" i="8" s="1"/>
  <c r="J244" i="8" s="1"/>
  <c r="K244" i="8" s="1"/>
  <c r="E244" i="8"/>
  <c r="D244" i="8"/>
  <c r="E241" i="8"/>
  <c r="D241" i="8"/>
  <c r="C241" i="8"/>
  <c r="F240" i="8"/>
  <c r="G240" i="8" s="1"/>
  <c r="H240" i="8" s="1"/>
  <c r="I240" i="8" s="1"/>
  <c r="J240" i="8" s="1"/>
  <c r="F238" i="8"/>
  <c r="G238" i="8" s="1"/>
  <c r="F237" i="8"/>
  <c r="F236" i="8"/>
  <c r="G236" i="8" s="1"/>
  <c r="H236" i="8" s="1"/>
  <c r="I236" i="8" s="1"/>
  <c r="J236" i="8" s="1"/>
  <c r="K236" i="8" s="1"/>
  <c r="D236" i="8"/>
  <c r="C236" i="8" s="1"/>
  <c r="E231" i="8"/>
  <c r="D231" i="8"/>
  <c r="C231" i="8"/>
  <c r="H225" i="8"/>
  <c r="G225" i="8"/>
  <c r="C221" i="8"/>
  <c r="E219" i="8"/>
  <c r="E221" i="8" s="1"/>
  <c r="F221" i="8" s="1"/>
  <c r="G221" i="8" s="1"/>
  <c r="H221" i="8" s="1"/>
  <c r="I221" i="8" s="1"/>
  <c r="J221" i="8" s="1"/>
  <c r="K221" i="8" s="1"/>
  <c r="D218" i="8"/>
  <c r="D219" i="8" s="1"/>
  <c r="D221" i="8" s="1"/>
  <c r="C218" i="8"/>
  <c r="C219" i="8" s="1"/>
  <c r="F217" i="8"/>
  <c r="G217" i="8" s="1"/>
  <c r="H217" i="8" s="1"/>
  <c r="I217" i="8" s="1"/>
  <c r="J217" i="8" s="1"/>
  <c r="K217" i="8" s="1"/>
  <c r="G216" i="8"/>
  <c r="H216" i="8" s="1"/>
  <c r="I216" i="8" s="1"/>
  <c r="J216" i="8" s="1"/>
  <c r="K216" i="8" s="1"/>
  <c r="F216" i="8"/>
  <c r="F214" i="8"/>
  <c r="G214" i="8" s="1"/>
  <c r="H214" i="8" s="1"/>
  <c r="I214" i="8" s="1"/>
  <c r="J214" i="8" s="1"/>
  <c r="K214" i="8" s="1"/>
  <c r="D214" i="8"/>
  <c r="C214" i="8" s="1"/>
  <c r="G208" i="8"/>
  <c r="H208" i="8" s="1"/>
  <c r="I208" i="8" s="1"/>
  <c r="J208" i="8" s="1"/>
  <c r="K208" i="8" s="1"/>
  <c r="G203" i="8"/>
  <c r="F196" i="8"/>
  <c r="K191" i="8"/>
  <c r="K149" i="8" s="1"/>
  <c r="J191" i="8"/>
  <c r="I191" i="8"/>
  <c r="H191" i="8"/>
  <c r="H149" i="8" s="1"/>
  <c r="G191" i="8"/>
  <c r="G149" i="8" s="1"/>
  <c r="F191" i="8"/>
  <c r="F189" i="8"/>
  <c r="F184" i="8"/>
  <c r="F181" i="8"/>
  <c r="D179" i="8"/>
  <c r="C179" i="8" s="1"/>
  <c r="G165" i="8"/>
  <c r="F161" i="8"/>
  <c r="G161" i="8" s="1"/>
  <c r="H161" i="8" s="1"/>
  <c r="I161" i="8" s="1"/>
  <c r="J161" i="8" s="1"/>
  <c r="K161" i="8" s="1"/>
  <c r="D161" i="8"/>
  <c r="C161" i="8" s="1"/>
  <c r="F156" i="8"/>
  <c r="G151" i="8"/>
  <c r="F151" i="8"/>
  <c r="K150" i="8"/>
  <c r="J150" i="8"/>
  <c r="I150" i="8"/>
  <c r="H150" i="8"/>
  <c r="G150" i="8"/>
  <c r="F150" i="8"/>
  <c r="J149" i="8"/>
  <c r="I149" i="8"/>
  <c r="F149" i="8"/>
  <c r="F138" i="8"/>
  <c r="G138" i="8" s="1"/>
  <c r="H138" i="8" s="1"/>
  <c r="I138" i="8" s="1"/>
  <c r="J138" i="8" s="1"/>
  <c r="K138" i="8" s="1"/>
  <c r="D138" i="8"/>
  <c r="C138" i="8" s="1"/>
  <c r="E131" i="8"/>
  <c r="F131" i="8" s="1"/>
  <c r="E129" i="8"/>
  <c r="I127" i="8"/>
  <c r="J127" i="8" s="1"/>
  <c r="K127" i="8" s="1"/>
  <c r="E127" i="8"/>
  <c r="F127" i="8" s="1"/>
  <c r="G127" i="8" s="1"/>
  <c r="H127" i="8" s="1"/>
  <c r="E126" i="8"/>
  <c r="E124" i="8"/>
  <c r="F121" i="8" s="1"/>
  <c r="F264" i="8" s="1" a="1"/>
  <c r="J264" i="8" s="1"/>
  <c r="E122" i="8"/>
  <c r="E121" i="8"/>
  <c r="F120" i="8"/>
  <c r="G120" i="8" s="1"/>
  <c r="H120" i="8" s="1"/>
  <c r="I120" i="8" s="1"/>
  <c r="J120" i="8" s="1"/>
  <c r="K120" i="8" s="1"/>
  <c r="D120" i="8"/>
  <c r="C120" i="8" s="1"/>
  <c r="E114" i="8"/>
  <c r="F114" i="8" s="1"/>
  <c r="E105" i="8"/>
  <c r="E117" i="8" s="1"/>
  <c r="F117" i="8" s="1"/>
  <c r="D105" i="8"/>
  <c r="D117" i="8" s="1"/>
  <c r="C105" i="8"/>
  <c r="C117" i="8" s="1"/>
  <c r="E104" i="8"/>
  <c r="D104" i="8"/>
  <c r="C104" i="8"/>
  <c r="E101" i="8"/>
  <c r="D101" i="8"/>
  <c r="D114" i="8" s="1"/>
  <c r="C101" i="8"/>
  <c r="C114" i="8" s="1"/>
  <c r="E100" i="8"/>
  <c r="E113" i="8" s="1"/>
  <c r="F113" i="8" s="1"/>
  <c r="D100" i="8"/>
  <c r="D113" i="8" s="1"/>
  <c r="C100" i="8"/>
  <c r="C113" i="8" s="1"/>
  <c r="E99" i="8"/>
  <c r="D99" i="8"/>
  <c r="D112" i="8" s="1"/>
  <c r="C99" i="8"/>
  <c r="F97" i="8"/>
  <c r="G97" i="8" s="1"/>
  <c r="H97" i="8" s="1"/>
  <c r="I97" i="8" s="1"/>
  <c r="J97" i="8" s="1"/>
  <c r="K97" i="8" s="1"/>
  <c r="G81" i="8"/>
  <c r="H81" i="8" s="1"/>
  <c r="I81" i="8" s="1"/>
  <c r="J81" i="8" s="1"/>
  <c r="K81" i="8" s="1"/>
  <c r="F81" i="8"/>
  <c r="F80" i="8"/>
  <c r="G80" i="8" s="1"/>
  <c r="H80" i="8" s="1"/>
  <c r="I80" i="8" s="1"/>
  <c r="J80" i="8" s="1"/>
  <c r="K80" i="8" s="1"/>
  <c r="E77" i="8"/>
  <c r="E82" i="8" s="1"/>
  <c r="D77" i="8"/>
  <c r="D82" i="8" s="1"/>
  <c r="C77" i="8"/>
  <c r="C82" i="8" s="1"/>
  <c r="I76" i="8"/>
  <c r="J76" i="8" s="1"/>
  <c r="K76" i="8" s="1"/>
  <c r="H76" i="8"/>
  <c r="F76" i="8"/>
  <c r="G76" i="8" s="1"/>
  <c r="H70" i="8"/>
  <c r="I70" i="8" s="1"/>
  <c r="J70" i="8" s="1"/>
  <c r="K70" i="8" s="1"/>
  <c r="G70" i="8"/>
  <c r="F70" i="8"/>
  <c r="F69" i="8"/>
  <c r="G69" i="8" s="1"/>
  <c r="H69" i="8" s="1"/>
  <c r="I69" i="8" s="1"/>
  <c r="J69" i="8" s="1"/>
  <c r="K69" i="8" s="1"/>
  <c r="E63" i="8"/>
  <c r="E71" i="8" s="1"/>
  <c r="D63" i="8"/>
  <c r="D71" i="8" s="1"/>
  <c r="C63" i="8"/>
  <c r="C71" i="8" s="1"/>
  <c r="H59" i="8"/>
  <c r="I59" i="8" s="1"/>
  <c r="J59" i="8" s="1"/>
  <c r="K59" i="8" s="1"/>
  <c r="F59" i="8"/>
  <c r="G59" i="8" s="1"/>
  <c r="F56" i="8"/>
  <c r="G56" i="8" s="1"/>
  <c r="H56" i="8" s="1"/>
  <c r="I56" i="8" s="1"/>
  <c r="J56" i="8" s="1"/>
  <c r="K56" i="8" s="1"/>
  <c r="D56" i="8"/>
  <c r="C56" i="8" s="1"/>
  <c r="E50" i="8"/>
  <c r="F50" i="8" s="1"/>
  <c r="G50" i="8" s="1"/>
  <c r="H50" i="8" s="1"/>
  <c r="I50" i="8" s="1"/>
  <c r="J50" i="8" s="1"/>
  <c r="K50" i="8" s="1"/>
  <c r="G48" i="8"/>
  <c r="H48" i="8" s="1"/>
  <c r="I48" i="8" s="1"/>
  <c r="J48" i="8" s="1"/>
  <c r="K48" i="8" s="1"/>
  <c r="G46" i="8"/>
  <c r="H46" i="8" s="1"/>
  <c r="I46" i="8" s="1"/>
  <c r="J46" i="8" s="1"/>
  <c r="K46" i="8" s="1"/>
  <c r="E45" i="8"/>
  <c r="D45" i="8"/>
  <c r="K30" i="8"/>
  <c r="K141" i="8" s="1"/>
  <c r="J30" i="8"/>
  <c r="I30" i="8"/>
  <c r="K147" i="4" s="1"/>
  <c r="K150" i="4" s="1"/>
  <c r="K201" i="4" s="1"/>
  <c r="H30" i="8"/>
  <c r="G30" i="8"/>
  <c r="F30" i="8"/>
  <c r="E24" i="8"/>
  <c r="D24" i="8"/>
  <c r="C24" i="8"/>
  <c r="E23" i="8"/>
  <c r="D23" i="8"/>
  <c r="C23" i="8"/>
  <c r="E19" i="8"/>
  <c r="D19" i="8"/>
  <c r="C19" i="8"/>
  <c r="E18" i="8"/>
  <c r="E27" i="8" s="1"/>
  <c r="J37" i="3" s="1"/>
  <c r="E55" i="3" s="1"/>
  <c r="D18" i="8"/>
  <c r="D27" i="8" s="1"/>
  <c r="C18" i="8"/>
  <c r="C49" i="8" s="1"/>
  <c r="E16" i="8"/>
  <c r="D16" i="8"/>
  <c r="F14" i="8"/>
  <c r="G14" i="8" s="1"/>
  <c r="H14" i="8" s="1"/>
  <c r="I14" i="8" s="1"/>
  <c r="J14" i="8" s="1"/>
  <c r="K14" i="8" s="1"/>
  <c r="B2" i="8"/>
  <c r="G131" i="8" l="1"/>
  <c r="F67" i="8"/>
  <c r="G117" i="8"/>
  <c r="H117" i="8" s="1"/>
  <c r="I117" i="8" s="1"/>
  <c r="J117" i="8" s="1"/>
  <c r="K117" i="8" s="1"/>
  <c r="H194" i="4"/>
  <c r="H190" i="4"/>
  <c r="G113" i="8"/>
  <c r="H113" i="8" s="1"/>
  <c r="I113" i="8" s="1"/>
  <c r="J113" i="8" s="1"/>
  <c r="K113" i="8" s="1"/>
  <c r="C50" i="8"/>
  <c r="Q32" i="5"/>
  <c r="Q34" i="5" s="1"/>
  <c r="E31" i="5" s="1"/>
  <c r="E32" i="5" s="1"/>
  <c r="E132" i="4"/>
  <c r="H141" i="8"/>
  <c r="J147" i="4"/>
  <c r="J150" i="4" s="1"/>
  <c r="J201" i="4" s="1"/>
  <c r="F47" i="8"/>
  <c r="F15" i="8" s="1"/>
  <c r="D50" i="8"/>
  <c r="P32" i="5"/>
  <c r="P34" i="5" s="1"/>
  <c r="F31" i="5" s="1"/>
  <c r="F132" i="4"/>
  <c r="D91" i="8"/>
  <c r="D92" i="8" s="1"/>
  <c r="E106" i="8"/>
  <c r="F215" i="8"/>
  <c r="G114" i="8"/>
  <c r="H114" i="8" s="1"/>
  <c r="I114" i="8" s="1"/>
  <c r="J114" i="8" s="1"/>
  <c r="K114" i="8" s="1"/>
  <c r="H191" i="4"/>
  <c r="O32" i="5"/>
  <c r="O34" i="5" s="1"/>
  <c r="G31" i="5" s="1"/>
  <c r="G132" i="4"/>
  <c r="F141" i="8"/>
  <c r="H147" i="4"/>
  <c r="H150" i="4" s="1"/>
  <c r="H201" i="4" s="1"/>
  <c r="J141" i="8"/>
  <c r="L147" i="4"/>
  <c r="L150" i="4" s="1"/>
  <c r="L201" i="4" s="1"/>
  <c r="D49" i="8"/>
  <c r="C91" i="8"/>
  <c r="C92" i="8" s="1"/>
  <c r="C94" i="8" s="1"/>
  <c r="E91" i="8"/>
  <c r="E92" i="8" s="1"/>
  <c r="E94" i="8" s="1"/>
  <c r="D102" i="8"/>
  <c r="H238" i="8"/>
  <c r="I238" i="8" s="1"/>
  <c r="G141" i="8"/>
  <c r="I147" i="4"/>
  <c r="I150" i="4" s="1"/>
  <c r="I201" i="4" s="1"/>
  <c r="I141" i="8"/>
  <c r="O238" i="8"/>
  <c r="O240" i="8"/>
  <c r="F241" i="8"/>
  <c r="E51" i="8"/>
  <c r="F51" i="8" s="1"/>
  <c r="G51" i="8" s="1"/>
  <c r="H51" i="8" s="1"/>
  <c r="I51" i="8" s="1"/>
  <c r="J51" i="8" s="1"/>
  <c r="K51" i="8" s="1"/>
  <c r="E28" i="8"/>
  <c r="E31" i="8"/>
  <c r="E36" i="8" s="1"/>
  <c r="G47" i="8"/>
  <c r="H47" i="8" s="1"/>
  <c r="I47" i="8" s="1"/>
  <c r="J47" i="8" s="1"/>
  <c r="K47" i="8" s="1"/>
  <c r="D31" i="8"/>
  <c r="D36" i="8" s="1"/>
  <c r="D51" i="8"/>
  <c r="D28" i="8"/>
  <c r="E112" i="8"/>
  <c r="F112" i="8" s="1"/>
  <c r="H189" i="4" s="1"/>
  <c r="E102" i="8"/>
  <c r="E49" i="8"/>
  <c r="F49" i="8" s="1"/>
  <c r="G49" i="8" s="1"/>
  <c r="H49" i="8" s="1"/>
  <c r="I49" i="8" s="1"/>
  <c r="J49" i="8" s="1"/>
  <c r="K49" i="8" s="1"/>
  <c r="D94" i="8"/>
  <c r="E116" i="8"/>
  <c r="F116" i="8" s="1"/>
  <c r="H193" i="4" s="1"/>
  <c r="D116" i="8"/>
  <c r="D106" i="8"/>
  <c r="D108" i="8" s="1"/>
  <c r="E128" i="8"/>
  <c r="F126" i="8"/>
  <c r="F129" i="8" s="1"/>
  <c r="D14" i="8"/>
  <c r="C14" i="8" s="1"/>
  <c r="D97" i="8"/>
  <c r="C97" i="8" s="1"/>
  <c r="C27" i="8"/>
  <c r="C102" i="8"/>
  <c r="C112" i="8"/>
  <c r="E123" i="8"/>
  <c r="E134" i="8" s="1"/>
  <c r="F134" i="8" s="1"/>
  <c r="G134" i="8" s="1"/>
  <c r="H134" i="8" s="1"/>
  <c r="I134" i="8" s="1"/>
  <c r="J134" i="8" s="1"/>
  <c r="K134" i="8" s="1"/>
  <c r="C116" i="8"/>
  <c r="C106" i="8"/>
  <c r="K240" i="8"/>
  <c r="D262" i="8"/>
  <c r="C262" i="8" s="1"/>
  <c r="F262" i="8"/>
  <c r="G262" i="8" s="1"/>
  <c r="H262" i="8" s="1"/>
  <c r="I262" i="8" s="1"/>
  <c r="J262" i="8" s="1"/>
  <c r="K262" i="8" s="1"/>
  <c r="I264" i="8"/>
  <c r="H264" i="8"/>
  <c r="K264" i="8"/>
  <c r="G264" i="8"/>
  <c r="G181" i="8"/>
  <c r="F192" i="8"/>
  <c r="F79" i="8" s="1"/>
  <c r="G189" i="8" s="1"/>
  <c r="G192" i="8" s="1"/>
  <c r="G79" i="8" s="1"/>
  <c r="H189" i="8" s="1"/>
  <c r="H192" i="8" s="1"/>
  <c r="H79" i="8" s="1"/>
  <c r="I189" i="8" s="1"/>
  <c r="I192" i="8" s="1"/>
  <c r="I79" i="8" s="1"/>
  <c r="J189" i="8" s="1"/>
  <c r="J192" i="8" s="1"/>
  <c r="J79" i="8" s="1"/>
  <c r="K189" i="8" s="1"/>
  <c r="K192" i="8" s="1"/>
  <c r="K79" i="8" s="1"/>
  <c r="I225" i="8"/>
  <c r="J238" i="8"/>
  <c r="K238" i="8" s="1"/>
  <c r="H165" i="8"/>
  <c r="F179" i="8"/>
  <c r="G179" i="8" s="1"/>
  <c r="H179" i="8" s="1"/>
  <c r="I179" i="8" s="1"/>
  <c r="J179" i="8" s="1"/>
  <c r="K179" i="8" s="1"/>
  <c r="H203" i="8"/>
  <c r="F264" i="8"/>
  <c r="G237" i="8"/>
  <c r="G15" i="8" l="1"/>
  <c r="H117" i="4"/>
  <c r="H135" i="3"/>
  <c r="I193" i="4"/>
  <c r="J193" i="4" s="1"/>
  <c r="K193" i="4" s="1"/>
  <c r="L193" i="4" s="1"/>
  <c r="G193" i="4"/>
  <c r="G32" i="5"/>
  <c r="G35" i="5" s="1"/>
  <c r="G63" i="5"/>
  <c r="I190" i="4"/>
  <c r="J190" i="4" s="1"/>
  <c r="K190" i="4" s="1"/>
  <c r="L190" i="4" s="1"/>
  <c r="G190" i="4"/>
  <c r="F135" i="4"/>
  <c r="F140" i="4" s="1"/>
  <c r="F137" i="4"/>
  <c r="I189" i="4"/>
  <c r="J189" i="4" s="1"/>
  <c r="K189" i="4" s="1"/>
  <c r="L189" i="4" s="1"/>
  <c r="G189" i="4"/>
  <c r="C108" i="4"/>
  <c r="C109" i="4" s="1"/>
  <c r="C111" i="4" s="1"/>
  <c r="C113" i="4" s="1"/>
  <c r="C109" i="3"/>
  <c r="C110" i="3" s="1"/>
  <c r="C112" i="3" s="1"/>
  <c r="C114" i="3" s="1"/>
  <c r="E135" i="4"/>
  <c r="E140" i="4" s="1"/>
  <c r="E137" i="4"/>
  <c r="H131" i="8"/>
  <c r="G67" i="8"/>
  <c r="I191" i="4"/>
  <c r="J191" i="4" s="1"/>
  <c r="K191" i="4" s="1"/>
  <c r="L191" i="4" s="1"/>
  <c r="G191" i="4"/>
  <c r="I194" i="4"/>
  <c r="J194" i="4" s="1"/>
  <c r="K194" i="4" s="1"/>
  <c r="L194" i="4" s="1"/>
  <c r="G194" i="4"/>
  <c r="F163" i="8"/>
  <c r="E135" i="8"/>
  <c r="F135" i="8" s="1"/>
  <c r="G135" i="8" s="1"/>
  <c r="H135" i="8" s="1"/>
  <c r="I135" i="8" s="1"/>
  <c r="J135" i="8" s="1"/>
  <c r="K135" i="8" s="1"/>
  <c r="E108" i="8"/>
  <c r="G135" i="4"/>
  <c r="G140" i="4" s="1"/>
  <c r="G137" i="4"/>
  <c r="F63" i="5"/>
  <c r="F32" i="5"/>
  <c r="F35" i="5" s="1"/>
  <c r="H204" i="8"/>
  <c r="I203" i="8"/>
  <c r="C31" i="8"/>
  <c r="C36" i="8" s="1"/>
  <c r="C51" i="8"/>
  <c r="C28" i="8"/>
  <c r="G126" i="8"/>
  <c r="G129" i="8" s="1"/>
  <c r="F68" i="8"/>
  <c r="F99" i="8"/>
  <c r="G112" i="8"/>
  <c r="F123" i="8"/>
  <c r="F23" i="8"/>
  <c r="F101" i="8"/>
  <c r="F62" i="8" s="1"/>
  <c r="F17" i="8"/>
  <c r="H122" i="4" s="1"/>
  <c r="G204" i="8"/>
  <c r="G116" i="8"/>
  <c r="D52" i="8"/>
  <c r="D38" i="8"/>
  <c r="D39" i="8"/>
  <c r="G241" i="8"/>
  <c r="H237" i="8"/>
  <c r="J225" i="8"/>
  <c r="F204" i="8"/>
  <c r="E38" i="8"/>
  <c r="E39" i="8"/>
  <c r="E52" i="8"/>
  <c r="F52" i="8" s="1"/>
  <c r="H181" i="8"/>
  <c r="H151" i="8"/>
  <c r="I165" i="8"/>
  <c r="C108" i="8"/>
  <c r="D109" i="8" s="1"/>
  <c r="E109" i="8"/>
  <c r="G52" i="8" l="1"/>
  <c r="H52" i="8" s="1"/>
  <c r="I52" i="8" s="1"/>
  <c r="J52" i="8" s="1"/>
  <c r="K52" i="8" s="1"/>
  <c r="C22" i="5"/>
  <c r="C35" i="3"/>
  <c r="G374" i="4"/>
  <c r="G123" i="3"/>
  <c r="I131" i="8"/>
  <c r="H67" i="8"/>
  <c r="H119" i="4"/>
  <c r="H127" i="4"/>
  <c r="G262" i="4"/>
  <c r="E54" i="4"/>
  <c r="H42" i="4"/>
  <c r="G65" i="5"/>
  <c r="G70" i="5" s="1"/>
  <c r="G192" i="5" s="1"/>
  <c r="G68" i="5"/>
  <c r="H132" i="4"/>
  <c r="H134" i="4" s="1"/>
  <c r="H135" i="4" s="1"/>
  <c r="H138" i="3"/>
  <c r="H140" i="3" s="1"/>
  <c r="H147" i="3" s="1"/>
  <c r="F65" i="5"/>
  <c r="F70" i="5" s="1"/>
  <c r="F68" i="5"/>
  <c r="I117" i="4"/>
  <c r="I135" i="3"/>
  <c r="I181" i="8"/>
  <c r="J165" i="8"/>
  <c r="I151" i="8"/>
  <c r="H241" i="8"/>
  <c r="I237" i="8"/>
  <c r="F105" i="8"/>
  <c r="F75" i="8" s="1"/>
  <c r="F100" i="8"/>
  <c r="F61" i="8" s="1"/>
  <c r="F22" i="8"/>
  <c r="F21" i="8"/>
  <c r="C39" i="8"/>
  <c r="C52" i="8"/>
  <c r="C38" i="8"/>
  <c r="E230" i="8"/>
  <c r="E171" i="8"/>
  <c r="F171" i="8" s="1"/>
  <c r="G171" i="8" s="1"/>
  <c r="H171" i="8" s="1"/>
  <c r="I171" i="8" s="1"/>
  <c r="J171" i="8" s="1"/>
  <c r="K171" i="8" s="1"/>
  <c r="F104" i="8"/>
  <c r="F18" i="8"/>
  <c r="F27" i="8" s="1"/>
  <c r="F267" i="8" a="1"/>
  <c r="F145" i="8"/>
  <c r="H126" i="8"/>
  <c r="H129" i="8" s="1"/>
  <c r="G68" i="8"/>
  <c r="J203" i="8"/>
  <c r="I204" i="8"/>
  <c r="K225" i="8"/>
  <c r="D171" i="8"/>
  <c r="D230" i="8"/>
  <c r="H116" i="8"/>
  <c r="G99" i="8"/>
  <c r="H112" i="8"/>
  <c r="G123" i="8"/>
  <c r="G23" i="8"/>
  <c r="H15" i="8"/>
  <c r="G17" i="8"/>
  <c r="G101" i="8"/>
  <c r="G62" i="8" s="1"/>
  <c r="F60" i="8"/>
  <c r="I119" i="4" l="1"/>
  <c r="I124" i="4" s="1"/>
  <c r="I129" i="4" s="1"/>
  <c r="C35" i="4"/>
  <c r="C76" i="3"/>
  <c r="C68" i="3"/>
  <c r="G18" i="8"/>
  <c r="I122" i="4"/>
  <c r="F146" i="8"/>
  <c r="H206" i="4"/>
  <c r="I67" i="8"/>
  <c r="J131" i="8"/>
  <c r="J117" i="4"/>
  <c r="J135" i="3"/>
  <c r="G181" i="5"/>
  <c r="G180" i="5"/>
  <c r="H137" i="4"/>
  <c r="I132" i="4"/>
  <c r="I134" i="4" s="1"/>
  <c r="I135" i="4" s="1"/>
  <c r="I138" i="3"/>
  <c r="I140" i="3" s="1"/>
  <c r="I147" i="3" s="1"/>
  <c r="H120" i="4"/>
  <c r="H124" i="4"/>
  <c r="G27" i="8"/>
  <c r="F102" i="8"/>
  <c r="F106" i="8"/>
  <c r="F74" i="8"/>
  <c r="G21" i="8"/>
  <c r="G22" i="8"/>
  <c r="C171" i="8"/>
  <c r="C230" i="8"/>
  <c r="G105" i="8"/>
  <c r="G75" i="8" s="1"/>
  <c r="G100" i="8"/>
  <c r="G61" i="8" s="1"/>
  <c r="G268" i="8" a="1"/>
  <c r="G145" i="8"/>
  <c r="G60" i="8"/>
  <c r="J204" i="8"/>
  <c r="K203" i="8"/>
  <c r="K204" i="8" s="1"/>
  <c r="J267" i="8"/>
  <c r="F267" i="8"/>
  <c r="F273" i="8" s="1"/>
  <c r="F275" i="8" s="1"/>
  <c r="F122" i="8" s="1"/>
  <c r="I267" i="8"/>
  <c r="H267" i="8"/>
  <c r="K267" i="8"/>
  <c r="G267" i="8"/>
  <c r="E233" i="8"/>
  <c r="E41" i="8" s="1"/>
  <c r="E232" i="8"/>
  <c r="I241" i="8"/>
  <c r="J237" i="8"/>
  <c r="I116" i="8"/>
  <c r="I126" i="8"/>
  <c r="I129" i="8" s="1"/>
  <c r="H68" i="8"/>
  <c r="I112" i="8"/>
  <c r="H99" i="8"/>
  <c r="D232" i="8"/>
  <c r="D42" i="8" s="1"/>
  <c r="D233" i="8"/>
  <c r="D41" i="8" s="1"/>
  <c r="J181" i="8"/>
  <c r="K165" i="8"/>
  <c r="J151" i="8"/>
  <c r="H123" i="8"/>
  <c r="H101" i="8"/>
  <c r="H62" i="8" s="1"/>
  <c r="H17" i="8"/>
  <c r="I15" i="8"/>
  <c r="H23" i="8"/>
  <c r="G104" i="8"/>
  <c r="I125" i="4" l="1"/>
  <c r="I178" i="4" s="1"/>
  <c r="I83" i="4" s="1"/>
  <c r="G146" i="8"/>
  <c r="I206" i="4"/>
  <c r="K131" i="8"/>
  <c r="K67" i="8" s="1"/>
  <c r="J67" i="8"/>
  <c r="C75" i="4"/>
  <c r="C67" i="4"/>
  <c r="E42" i="8"/>
  <c r="G375" i="4" s="1"/>
  <c r="G376" i="4" s="1"/>
  <c r="G124" i="3"/>
  <c r="G125" i="3" s="1"/>
  <c r="H129" i="4"/>
  <c r="H130" i="4" s="1"/>
  <c r="H140" i="4" s="1"/>
  <c r="H125" i="4"/>
  <c r="I127" i="4"/>
  <c r="I137" i="4" s="1"/>
  <c r="K117" i="4"/>
  <c r="K135" i="3"/>
  <c r="H18" i="8"/>
  <c r="J122" i="4"/>
  <c r="H179" i="4"/>
  <c r="H84" i="4" s="1"/>
  <c r="H177" i="4"/>
  <c r="J119" i="4"/>
  <c r="J127" i="4"/>
  <c r="J137" i="4" s="1"/>
  <c r="H207" i="4"/>
  <c r="H265" i="4"/>
  <c r="H325" i="4"/>
  <c r="H326" i="4" s="1"/>
  <c r="H87" i="4"/>
  <c r="I87" i="4" s="1"/>
  <c r="I72" i="3"/>
  <c r="I120" i="4"/>
  <c r="J132" i="4"/>
  <c r="J134" i="4" s="1"/>
  <c r="J135" i="4" s="1"/>
  <c r="J138" i="3"/>
  <c r="J140" i="3" s="1"/>
  <c r="J147" i="3" s="1"/>
  <c r="I183" i="4"/>
  <c r="I97" i="4" s="1"/>
  <c r="I182" i="4"/>
  <c r="I130" i="4"/>
  <c r="I140" i="4" s="1"/>
  <c r="F108" i="8"/>
  <c r="F109" i="8" s="1"/>
  <c r="F142" i="8" s="1"/>
  <c r="H27" i="8"/>
  <c r="H104" i="8"/>
  <c r="H74" i="8" s="1"/>
  <c r="G102" i="8"/>
  <c r="K268" i="8"/>
  <c r="G268" i="8"/>
  <c r="G273" i="8" s="1"/>
  <c r="G275" i="8" s="1"/>
  <c r="G122" i="8" s="1"/>
  <c r="G29" i="8" s="1"/>
  <c r="I142" i="4" s="1"/>
  <c r="I145" i="4" s="1"/>
  <c r="I200" i="4" s="1"/>
  <c r="J268" i="8"/>
  <c r="I268" i="8"/>
  <c r="H268" i="8"/>
  <c r="H269" i="8" a="1"/>
  <c r="H145" i="8"/>
  <c r="J112" i="8"/>
  <c r="I99" i="8"/>
  <c r="C233" i="8"/>
  <c r="C41" i="8" s="1"/>
  <c r="C232" i="8"/>
  <c r="C42" i="8" s="1"/>
  <c r="F77" i="8"/>
  <c r="F82" i="8" s="1"/>
  <c r="G74" i="8"/>
  <c r="G106" i="8"/>
  <c r="H105" i="8"/>
  <c r="H75" i="8" s="1"/>
  <c r="H100" i="8"/>
  <c r="H61" i="8" s="1"/>
  <c r="K181" i="8"/>
  <c r="K151" i="8"/>
  <c r="J126" i="8"/>
  <c r="J129" i="8" s="1"/>
  <c r="I68" i="8"/>
  <c r="J241" i="8"/>
  <c r="K237" i="8"/>
  <c r="K241" i="8" s="1"/>
  <c r="F29" i="8"/>
  <c r="H142" i="4" s="1"/>
  <c r="H145" i="4" s="1"/>
  <c r="H200" i="4" s="1"/>
  <c r="F124" i="8"/>
  <c r="I123" i="8"/>
  <c r="I101" i="8"/>
  <c r="I62" i="8" s="1"/>
  <c r="I17" i="8"/>
  <c r="I23" i="8"/>
  <c r="J15" i="8"/>
  <c r="H21" i="8"/>
  <c r="H22" i="8"/>
  <c r="H60" i="8"/>
  <c r="J116" i="8"/>
  <c r="K132" i="4" l="1"/>
  <c r="K134" i="4" s="1"/>
  <c r="K135" i="4" s="1"/>
  <c r="K138" i="3"/>
  <c r="K140" i="3" s="1"/>
  <c r="K147" i="3" s="1"/>
  <c r="K119" i="4"/>
  <c r="K124" i="4" s="1"/>
  <c r="K129" i="4" s="1"/>
  <c r="I104" i="8"/>
  <c r="K122" i="4"/>
  <c r="K127" i="4" s="1"/>
  <c r="K137" i="4" s="1"/>
  <c r="I184" i="4"/>
  <c r="I96" i="4"/>
  <c r="I98" i="4" s="1"/>
  <c r="H296" i="4"/>
  <c r="H329" i="4"/>
  <c r="J120" i="4"/>
  <c r="J124" i="4"/>
  <c r="J125" i="4" s="1"/>
  <c r="I152" i="4"/>
  <c r="I177" i="4"/>
  <c r="I179" i="4"/>
  <c r="I84" i="4" s="1"/>
  <c r="H152" i="4"/>
  <c r="H182" i="4"/>
  <c r="H178" i="4"/>
  <c r="H83" i="4" s="1"/>
  <c r="H183" i="4"/>
  <c r="H97" i="4" s="1"/>
  <c r="I71" i="4"/>
  <c r="I325" i="4"/>
  <c r="I326" i="4" s="1"/>
  <c r="I207" i="4"/>
  <c r="I265" i="4"/>
  <c r="I262" i="4"/>
  <c r="I139" i="4"/>
  <c r="I155" i="4"/>
  <c r="J152" i="4"/>
  <c r="H146" i="8"/>
  <c r="J206" i="4"/>
  <c r="L117" i="4"/>
  <c r="L135" i="3"/>
  <c r="E104" i="3"/>
  <c r="G104" i="3" s="1"/>
  <c r="I73" i="3"/>
  <c r="I76" i="3" s="1"/>
  <c r="I77" i="3" s="1"/>
  <c r="E90" i="3" s="1"/>
  <c r="G90" i="3" s="1"/>
  <c r="H82" i="4"/>
  <c r="G108" i="8"/>
  <c r="G109" i="8" s="1"/>
  <c r="G142" i="8" s="1"/>
  <c r="H106" i="8"/>
  <c r="I21" i="8"/>
  <c r="I22" i="8"/>
  <c r="G77" i="8"/>
  <c r="G82" i="8" s="1"/>
  <c r="H77" i="8"/>
  <c r="H82" i="8" s="1"/>
  <c r="K126" i="8"/>
  <c r="K129" i="8" s="1"/>
  <c r="K68" i="8" s="1"/>
  <c r="J68" i="8"/>
  <c r="I269" i="8"/>
  <c r="H269" i="8"/>
  <c r="H273" i="8" s="1"/>
  <c r="H275" i="8" s="1"/>
  <c r="H122" i="8" s="1"/>
  <c r="H29" i="8" s="1"/>
  <c r="J142" i="4" s="1"/>
  <c r="J145" i="4" s="1"/>
  <c r="J200" i="4" s="1"/>
  <c r="K269" i="8"/>
  <c r="J269" i="8"/>
  <c r="F140" i="8"/>
  <c r="F31" i="8"/>
  <c r="G140" i="8"/>
  <c r="G31" i="8"/>
  <c r="I60" i="8"/>
  <c r="I74" i="8"/>
  <c r="I270" i="8" a="1"/>
  <c r="I145" i="8"/>
  <c r="K116" i="8"/>
  <c r="I105" i="8"/>
  <c r="I75" i="8" s="1"/>
  <c r="I100" i="8"/>
  <c r="I61" i="8" s="1"/>
  <c r="H102" i="8"/>
  <c r="I18" i="8"/>
  <c r="I27" i="8" s="1"/>
  <c r="J101" i="8"/>
  <c r="J62" i="8" s="1"/>
  <c r="J123" i="8"/>
  <c r="J17" i="8"/>
  <c r="K15" i="8"/>
  <c r="J23" i="8"/>
  <c r="G121" i="8"/>
  <c r="G124" i="8" s="1"/>
  <c r="F65" i="8"/>
  <c r="J99" i="8"/>
  <c r="K112" i="8"/>
  <c r="H180" i="4" l="1"/>
  <c r="J129" i="4"/>
  <c r="J130" i="4" s="1"/>
  <c r="J140" i="4" s="1"/>
  <c r="J155" i="4" s="1"/>
  <c r="I329" i="4"/>
  <c r="J329" i="4" s="1"/>
  <c r="K329" i="4" s="1"/>
  <c r="L329" i="4" s="1"/>
  <c r="H334" i="4"/>
  <c r="H335" i="4" s="1"/>
  <c r="H297" i="4" s="1"/>
  <c r="J87" i="4"/>
  <c r="K87" i="4" s="1"/>
  <c r="K130" i="4"/>
  <c r="K140" i="4" s="1"/>
  <c r="I146" i="8"/>
  <c r="K206" i="4"/>
  <c r="E103" i="4"/>
  <c r="G103" i="4" s="1"/>
  <c r="H103" i="4" s="1"/>
  <c r="I103" i="4" s="1"/>
  <c r="J103" i="4" s="1"/>
  <c r="K103" i="4" s="1"/>
  <c r="L103" i="4" s="1"/>
  <c r="I72" i="4"/>
  <c r="I75" i="4" s="1"/>
  <c r="I76" i="4" s="1"/>
  <c r="E89" i="4" s="1"/>
  <c r="G89" i="4" s="1"/>
  <c r="H89" i="4" s="1"/>
  <c r="I89" i="4" s="1"/>
  <c r="J89" i="4" s="1"/>
  <c r="K89" i="4" s="1"/>
  <c r="L89" i="4" s="1"/>
  <c r="L119" i="4"/>
  <c r="L127" i="4"/>
  <c r="L137" i="4" s="1"/>
  <c r="J182" i="4"/>
  <c r="J183" i="4"/>
  <c r="J97" i="4" s="1"/>
  <c r="J178" i="4"/>
  <c r="J83" i="4" s="1"/>
  <c r="I330" i="4"/>
  <c r="I296" i="4"/>
  <c r="H96" i="4"/>
  <c r="H98" i="4" s="1"/>
  <c r="H184" i="4"/>
  <c r="H186" i="4" s="1"/>
  <c r="H187" i="4" s="1"/>
  <c r="H202" i="4" s="1"/>
  <c r="H268" i="4" s="1"/>
  <c r="K125" i="4"/>
  <c r="J18" i="8"/>
  <c r="L122" i="4"/>
  <c r="L132" i="4"/>
  <c r="L134" i="4" s="1"/>
  <c r="L135" i="4" s="1"/>
  <c r="L138" i="3"/>
  <c r="L140" i="3" s="1"/>
  <c r="L147" i="3" s="1"/>
  <c r="J207" i="4"/>
  <c r="J265" i="4"/>
  <c r="J325" i="4"/>
  <c r="J326" i="4" s="1"/>
  <c r="I154" i="4"/>
  <c r="I82" i="4"/>
  <c r="I180" i="4"/>
  <c r="I186" i="4" s="1"/>
  <c r="J179" i="4"/>
  <c r="J84" i="4" s="1"/>
  <c r="J177" i="4"/>
  <c r="K120" i="4"/>
  <c r="H108" i="8"/>
  <c r="H109" i="8" s="1"/>
  <c r="H142" i="8" s="1"/>
  <c r="K99" i="8"/>
  <c r="K60" i="8" s="1"/>
  <c r="J27" i="8"/>
  <c r="I106" i="8"/>
  <c r="J22" i="8"/>
  <c r="J21" i="8"/>
  <c r="J145" i="8"/>
  <c r="J271" i="8" a="1"/>
  <c r="H140" i="8"/>
  <c r="H31" i="8"/>
  <c r="G65" i="8"/>
  <c r="H121" i="8"/>
  <c r="H124" i="8" s="1"/>
  <c r="I102" i="8"/>
  <c r="J60" i="8"/>
  <c r="K123" i="8"/>
  <c r="K23" i="8"/>
  <c r="K101" i="8"/>
  <c r="K62" i="8" s="1"/>
  <c r="K17" i="8"/>
  <c r="K104" i="8" s="1"/>
  <c r="K270" i="8"/>
  <c r="J270" i="8"/>
  <c r="I270" i="8"/>
  <c r="I273" i="8" s="1"/>
  <c r="I275" i="8" s="1"/>
  <c r="I122" i="8" s="1"/>
  <c r="I29" i="8" s="1"/>
  <c r="K142" i="4" s="1"/>
  <c r="K145" i="4" s="1"/>
  <c r="K200" i="4" s="1"/>
  <c r="J100" i="8"/>
  <c r="J61" i="8" s="1"/>
  <c r="J105" i="8"/>
  <c r="J75" i="8" s="1"/>
  <c r="J104" i="8"/>
  <c r="I77" i="8"/>
  <c r="I82" i="8" s="1"/>
  <c r="J262" i="4" l="1"/>
  <c r="J139" i="4"/>
  <c r="J146" i="8"/>
  <c r="L206" i="4"/>
  <c r="K182" i="4"/>
  <c r="K183" i="4"/>
  <c r="K97" i="4" s="1"/>
  <c r="K178" i="4"/>
  <c r="K83" i="4" s="1"/>
  <c r="L120" i="4"/>
  <c r="L124" i="4"/>
  <c r="L125" i="4" s="1"/>
  <c r="K265" i="4"/>
  <c r="K207" i="4"/>
  <c r="K325" i="4"/>
  <c r="K326" i="4" s="1"/>
  <c r="J154" i="4"/>
  <c r="J82" i="4"/>
  <c r="J180" i="4"/>
  <c r="K152" i="4"/>
  <c r="J330" i="4"/>
  <c r="K330" i="4" s="1"/>
  <c r="L330" i="4" s="1"/>
  <c r="I334" i="4"/>
  <c r="I335" i="4" s="1"/>
  <c r="J331" i="4"/>
  <c r="J296" i="4"/>
  <c r="I187" i="4"/>
  <c r="I202" i="4" s="1"/>
  <c r="I268" i="4" s="1"/>
  <c r="K177" i="4"/>
  <c r="K179" i="4"/>
  <c r="K84" i="4" s="1"/>
  <c r="J96" i="4"/>
  <c r="J98" i="4" s="1"/>
  <c r="J184" i="4"/>
  <c r="K139" i="4"/>
  <c r="K262" i="4"/>
  <c r="K155" i="4"/>
  <c r="K18" i="8"/>
  <c r="K27" i="8" s="1"/>
  <c r="I108" i="8"/>
  <c r="I109" i="8" s="1"/>
  <c r="I142" i="8" s="1"/>
  <c r="K74" i="8"/>
  <c r="I140" i="8"/>
  <c r="I31" i="8"/>
  <c r="J102" i="8"/>
  <c r="J106" i="8"/>
  <c r="J74" i="8"/>
  <c r="K22" i="8"/>
  <c r="K21" i="8"/>
  <c r="K105" i="8"/>
  <c r="K75" i="8" s="1"/>
  <c r="K100" i="8"/>
  <c r="K272" i="8"/>
  <c r="K145" i="8"/>
  <c r="K146" i="8" s="1"/>
  <c r="I121" i="8"/>
  <c r="I124" i="8" s="1"/>
  <c r="H65" i="8"/>
  <c r="K271" i="8"/>
  <c r="J271" i="8"/>
  <c r="J273" i="8" s="1"/>
  <c r="J275" i="8" s="1"/>
  <c r="J122" i="8" s="1"/>
  <c r="J29" i="8" s="1"/>
  <c r="L142" i="4" s="1"/>
  <c r="L145" i="4" s="1"/>
  <c r="L200" i="4" s="1"/>
  <c r="K273" i="8" l="1"/>
  <c r="K275" i="8" s="1"/>
  <c r="K122" i="8" s="1"/>
  <c r="K29" i="8" s="1"/>
  <c r="K140" i="8" s="1"/>
  <c r="L183" i="4"/>
  <c r="L97" i="4" s="1"/>
  <c r="L178" i="4"/>
  <c r="L83" i="4" s="1"/>
  <c r="L182" i="4"/>
  <c r="K154" i="4"/>
  <c r="K96" i="4"/>
  <c r="K98" i="4" s="1"/>
  <c r="K184" i="4"/>
  <c r="I297" i="4"/>
  <c r="I307" i="4"/>
  <c r="I309" i="4" s="1"/>
  <c r="K332" i="4"/>
  <c r="K296" i="4"/>
  <c r="L177" i="4"/>
  <c r="L179" i="4"/>
  <c r="L84" i="4" s="1"/>
  <c r="J334" i="4"/>
  <c r="J335" i="4" s="1"/>
  <c r="K331" i="4"/>
  <c r="L331" i="4" s="1"/>
  <c r="L152" i="4"/>
  <c r="L265" i="4"/>
  <c r="L325" i="4"/>
  <c r="L326" i="4" s="1"/>
  <c r="L207" i="4"/>
  <c r="K82" i="4"/>
  <c r="K180" i="4"/>
  <c r="L87" i="4"/>
  <c r="J186" i="4"/>
  <c r="J187" i="4" s="1"/>
  <c r="J202" i="4" s="1"/>
  <c r="J268" i="4" s="1"/>
  <c r="L129" i="4"/>
  <c r="L130" i="4" s="1"/>
  <c r="L140" i="4" s="1"/>
  <c r="J108" i="8"/>
  <c r="J109" i="8" s="1"/>
  <c r="J142" i="8" s="1"/>
  <c r="J140" i="8"/>
  <c r="J31" i="8"/>
  <c r="J121" i="8"/>
  <c r="J124" i="8" s="1"/>
  <c r="I65" i="8"/>
  <c r="K31" i="8"/>
  <c r="K106" i="8"/>
  <c r="K61" i="8"/>
  <c r="K102" i="8"/>
  <c r="J77" i="8"/>
  <c r="J82" i="8" s="1"/>
  <c r="K77" i="8"/>
  <c r="K82" i="8" s="1"/>
  <c r="K186" i="4" l="1"/>
  <c r="K187" i="4" s="1"/>
  <c r="K202" i="4" s="1"/>
  <c r="K268" i="4" s="1"/>
  <c r="L333" i="4"/>
  <c r="L334" i="4" s="1"/>
  <c r="L296" i="4"/>
  <c r="L332" i="4"/>
  <c r="L335" i="4" s="1"/>
  <c r="L297" i="4" s="1"/>
  <c r="K334" i="4"/>
  <c r="K335" i="4" s="1"/>
  <c r="J297" i="4"/>
  <c r="J307" i="4"/>
  <c r="J309" i="4" s="1"/>
  <c r="L262" i="4"/>
  <c r="L139" i="4"/>
  <c r="L155" i="4"/>
  <c r="L82" i="4"/>
  <c r="L180" i="4"/>
  <c r="L184" i="4"/>
  <c r="L96" i="4"/>
  <c r="L98" i="4" s="1"/>
  <c r="K108" i="8"/>
  <c r="K109" i="8" s="1"/>
  <c r="K142" i="8" s="1"/>
  <c r="K121" i="8"/>
  <c r="K124" i="8" s="1"/>
  <c r="K65" i="8" s="1"/>
  <c r="J65" i="8"/>
  <c r="L186" i="4" l="1"/>
  <c r="L187" i="4" s="1"/>
  <c r="L202" i="4" s="1"/>
  <c r="L268" i="4" s="1"/>
  <c r="L154" i="4"/>
  <c r="L307" i="4"/>
  <c r="L309" i="4" s="1"/>
  <c r="K297" i="4"/>
  <c r="K307" i="4"/>
  <c r="K309" i="4" s="1"/>
  <c r="B268" i="2"/>
  <c r="B269" i="2" s="1"/>
  <c r="B270" i="2" s="1"/>
  <c r="B271" i="2" s="1"/>
  <c r="E262" i="2"/>
  <c r="G245" i="2"/>
  <c r="H245" i="2" s="1"/>
  <c r="I245" i="2" s="1"/>
  <c r="J245" i="2" s="1"/>
  <c r="K245" i="2" s="1"/>
  <c r="E245" i="2"/>
  <c r="D245" i="2"/>
  <c r="G244" i="2"/>
  <c r="H244" i="2" s="1"/>
  <c r="I244" i="2" s="1"/>
  <c r="J244" i="2" s="1"/>
  <c r="K244" i="2" s="1"/>
  <c r="E244" i="2"/>
  <c r="D244" i="2"/>
  <c r="E241" i="2"/>
  <c r="D241" i="2"/>
  <c r="C241" i="2"/>
  <c r="F240" i="2"/>
  <c r="F239" i="2"/>
  <c r="G239" i="2" s="1"/>
  <c r="G238" i="2"/>
  <c r="F238" i="2"/>
  <c r="F241" i="2" s="1"/>
  <c r="E237" i="2"/>
  <c r="F237" i="2" s="1"/>
  <c r="G237" i="2" s="1"/>
  <c r="H237" i="2" s="1"/>
  <c r="I237" i="2" s="1"/>
  <c r="J237" i="2" s="1"/>
  <c r="K237" i="2" s="1"/>
  <c r="E232" i="2"/>
  <c r="D232" i="2"/>
  <c r="C232" i="2"/>
  <c r="G226" i="2"/>
  <c r="H226" i="2" s="1"/>
  <c r="C220" i="2"/>
  <c r="C222" i="2" s="1"/>
  <c r="E220" i="2"/>
  <c r="E222" i="2" s="1"/>
  <c r="F222" i="2" s="1"/>
  <c r="G222" i="2" s="1"/>
  <c r="H222" i="2" s="1"/>
  <c r="I222" i="2" s="1"/>
  <c r="J222" i="2" s="1"/>
  <c r="K222" i="2" s="1"/>
  <c r="D220" i="2"/>
  <c r="D222" i="2" s="1"/>
  <c r="C219" i="2"/>
  <c r="G218" i="2"/>
  <c r="H218" i="2" s="1"/>
  <c r="I218" i="2" s="1"/>
  <c r="J218" i="2" s="1"/>
  <c r="K218" i="2" s="1"/>
  <c r="G217" i="2"/>
  <c r="H217" i="2" s="1"/>
  <c r="I217" i="2" s="1"/>
  <c r="J217" i="2" s="1"/>
  <c r="K217" i="2" s="1"/>
  <c r="E215" i="2"/>
  <c r="H209" i="2"/>
  <c r="I209" i="2" s="1"/>
  <c r="J209" i="2" s="1"/>
  <c r="K209" i="2" s="1"/>
  <c r="G209" i="2"/>
  <c r="G204" i="2"/>
  <c r="H204" i="2" s="1"/>
  <c r="F197" i="2"/>
  <c r="K192" i="2"/>
  <c r="K150" i="2" s="1"/>
  <c r="J192" i="2"/>
  <c r="I192" i="2"/>
  <c r="H192" i="2"/>
  <c r="G192" i="2"/>
  <c r="G150" i="2" s="1"/>
  <c r="F192" i="2"/>
  <c r="F190" i="2"/>
  <c r="F185" i="2"/>
  <c r="F182" i="2"/>
  <c r="E180" i="2"/>
  <c r="D180" i="2" s="1"/>
  <c r="C180" i="2" s="1"/>
  <c r="G166" i="2"/>
  <c r="G152" i="2" s="1"/>
  <c r="E162" i="2"/>
  <c r="F157" i="2"/>
  <c r="F152" i="2"/>
  <c r="K151" i="2"/>
  <c r="J151" i="2"/>
  <c r="I151" i="2"/>
  <c r="H151" i="2"/>
  <c r="G151" i="2"/>
  <c r="F151" i="2"/>
  <c r="J150" i="2"/>
  <c r="I150" i="2"/>
  <c r="H150" i="2"/>
  <c r="F150" i="2"/>
  <c r="E139" i="2"/>
  <c r="D139" i="2" s="1"/>
  <c r="C139" i="2" s="1"/>
  <c r="E132" i="2"/>
  <c r="E130" i="2"/>
  <c r="E128" i="2"/>
  <c r="E127" i="2"/>
  <c r="E125" i="2"/>
  <c r="F122" i="2" s="1"/>
  <c r="F264" i="2" s="1" a="1"/>
  <c r="J264" i="2" s="1"/>
  <c r="E123" i="2"/>
  <c r="E122" i="2"/>
  <c r="E121" i="2"/>
  <c r="D121" i="2" s="1"/>
  <c r="C121" i="2" s="1"/>
  <c r="E106" i="2"/>
  <c r="E118" i="2" s="1"/>
  <c r="D106" i="2"/>
  <c r="D118" i="2" s="1"/>
  <c r="C106" i="2"/>
  <c r="C118" i="2" s="1"/>
  <c r="E105" i="2"/>
  <c r="D105" i="2"/>
  <c r="C105" i="2"/>
  <c r="C117" i="2" s="1"/>
  <c r="E102" i="2"/>
  <c r="E115" i="2" s="1"/>
  <c r="D102" i="2"/>
  <c r="D115" i="2" s="1"/>
  <c r="C102" i="2"/>
  <c r="C115" i="2" s="1"/>
  <c r="E101" i="2"/>
  <c r="E114" i="2" s="1"/>
  <c r="D101" i="2"/>
  <c r="D114" i="2" s="1"/>
  <c r="C101" i="2"/>
  <c r="C114" i="2" s="1"/>
  <c r="E100" i="2"/>
  <c r="E113" i="2" s="1"/>
  <c r="D100" i="2"/>
  <c r="C100" i="2"/>
  <c r="E98" i="2"/>
  <c r="F98" i="2" s="1"/>
  <c r="G98" i="2" s="1"/>
  <c r="H98" i="2" s="1"/>
  <c r="I98" i="2" s="1"/>
  <c r="J98" i="2" s="1"/>
  <c r="K98" i="2" s="1"/>
  <c r="E78" i="2"/>
  <c r="E83" i="2" s="1"/>
  <c r="D78" i="2"/>
  <c r="D83" i="2" s="1"/>
  <c r="C78" i="2"/>
  <c r="C83" i="2" s="1"/>
  <c r="K67" i="2"/>
  <c r="J67" i="2"/>
  <c r="I67" i="2"/>
  <c r="H67" i="2"/>
  <c r="G67" i="2"/>
  <c r="F67" i="2"/>
  <c r="E63" i="2"/>
  <c r="E72" i="2" s="1"/>
  <c r="D63" i="2"/>
  <c r="D72" i="2" s="1"/>
  <c r="C63" i="2"/>
  <c r="C72" i="2" s="1"/>
  <c r="E56" i="2"/>
  <c r="F56" i="2" s="1"/>
  <c r="G56" i="2" s="1"/>
  <c r="H56" i="2" s="1"/>
  <c r="I56" i="2" s="1"/>
  <c r="J56" i="2" s="1"/>
  <c r="K56" i="2" s="1"/>
  <c r="G52" i="2"/>
  <c r="H52" i="2" s="1"/>
  <c r="I52" i="2" s="1"/>
  <c r="J52" i="2" s="1"/>
  <c r="K52" i="2" s="1"/>
  <c r="G51" i="2"/>
  <c r="H51" i="2" s="1"/>
  <c r="I51" i="2" s="1"/>
  <c r="J51" i="2" s="1"/>
  <c r="K51" i="2" s="1"/>
  <c r="G50" i="2"/>
  <c r="H50" i="2" s="1"/>
  <c r="I50" i="2" s="1"/>
  <c r="J50" i="2" s="1"/>
  <c r="K50" i="2" s="1"/>
  <c r="G49" i="2"/>
  <c r="H49" i="2" s="1"/>
  <c r="I49" i="2" s="1"/>
  <c r="J49" i="2" s="1"/>
  <c r="K49" i="2" s="1"/>
  <c r="G48" i="2"/>
  <c r="H48" i="2" s="1"/>
  <c r="I48" i="2" s="1"/>
  <c r="J48" i="2" s="1"/>
  <c r="K48" i="2" s="1"/>
  <c r="G46" i="2"/>
  <c r="H46" i="2" s="1"/>
  <c r="I46" i="2" s="1"/>
  <c r="J46" i="2" s="1"/>
  <c r="K46" i="2" s="1"/>
  <c r="E45" i="2"/>
  <c r="D45" i="2"/>
  <c r="K30" i="2"/>
  <c r="K142" i="2" s="1"/>
  <c r="J30" i="2"/>
  <c r="J142" i="2" s="1"/>
  <c r="I30" i="2"/>
  <c r="I142" i="2" s="1"/>
  <c r="H30" i="2"/>
  <c r="H142" i="2" s="1"/>
  <c r="G30" i="2"/>
  <c r="G142" i="2" s="1"/>
  <c r="F30" i="2"/>
  <c r="F142" i="2" s="1"/>
  <c r="E23" i="2"/>
  <c r="E50" i="2" s="1"/>
  <c r="D23" i="2"/>
  <c r="D24" i="2" s="1"/>
  <c r="C23" i="2"/>
  <c r="C50" i="2" s="1"/>
  <c r="E19" i="2"/>
  <c r="D19" i="2"/>
  <c r="C19" i="2"/>
  <c r="E18" i="2"/>
  <c r="D18" i="2"/>
  <c r="C18" i="2"/>
  <c r="C49" i="2" s="1"/>
  <c r="E16" i="2"/>
  <c r="D16" i="2"/>
  <c r="E14" i="2"/>
  <c r="D14" i="2" s="1"/>
  <c r="C14" i="2" s="1"/>
  <c r="B2" i="2"/>
  <c r="H239" i="2" l="1"/>
  <c r="I239" i="2" s="1"/>
  <c r="D107" i="2"/>
  <c r="C107" i="2"/>
  <c r="F47" i="2"/>
  <c r="F100" i="2" s="1"/>
  <c r="D117" i="2"/>
  <c r="E129" i="2"/>
  <c r="F127" i="2"/>
  <c r="F130" i="2" s="1"/>
  <c r="F68" i="2" s="1"/>
  <c r="E124" i="2"/>
  <c r="E135" i="2" s="1"/>
  <c r="E103" i="2"/>
  <c r="D50" i="2"/>
  <c r="E27" i="2"/>
  <c r="E51" i="2" s="1"/>
  <c r="E24" i="2"/>
  <c r="D27" i="2"/>
  <c r="D31" i="2" s="1"/>
  <c r="D36" i="2" s="1"/>
  <c r="C24" i="2"/>
  <c r="D49" i="2"/>
  <c r="D56" i="2"/>
  <c r="C56" i="2" s="1"/>
  <c r="F121" i="2"/>
  <c r="G121" i="2" s="1"/>
  <c r="H121" i="2" s="1"/>
  <c r="I121" i="2" s="1"/>
  <c r="J121" i="2" s="1"/>
  <c r="K121" i="2" s="1"/>
  <c r="D98" i="2"/>
  <c r="C98" i="2" s="1"/>
  <c r="F139" i="2"/>
  <c r="G139" i="2" s="1"/>
  <c r="H139" i="2" s="1"/>
  <c r="I139" i="2" s="1"/>
  <c r="J139" i="2" s="1"/>
  <c r="K139" i="2" s="1"/>
  <c r="F180" i="2"/>
  <c r="G180" i="2" s="1"/>
  <c r="H180" i="2" s="1"/>
  <c r="I180" i="2" s="1"/>
  <c r="J180" i="2" s="1"/>
  <c r="K180" i="2" s="1"/>
  <c r="E92" i="2"/>
  <c r="C92" i="2"/>
  <c r="C93" i="2" s="1"/>
  <c r="C95" i="2" s="1"/>
  <c r="E107" i="2"/>
  <c r="E117" i="2"/>
  <c r="F14" i="2"/>
  <c r="G14" i="2" s="1"/>
  <c r="H14" i="2" s="1"/>
  <c r="I14" i="2" s="1"/>
  <c r="J14" i="2" s="1"/>
  <c r="K14" i="2" s="1"/>
  <c r="C27" i="2"/>
  <c r="G47" i="2"/>
  <c r="H47" i="2" s="1"/>
  <c r="I47" i="2" s="1"/>
  <c r="J47" i="2" s="1"/>
  <c r="K47" i="2" s="1"/>
  <c r="E49" i="2"/>
  <c r="D92" i="2"/>
  <c r="D93" i="2" s="1"/>
  <c r="D95" i="2" s="1"/>
  <c r="D113" i="2"/>
  <c r="D103" i="2"/>
  <c r="C113" i="2"/>
  <c r="C103" i="2"/>
  <c r="D162" i="2"/>
  <c r="C162" i="2" s="1"/>
  <c r="F162" i="2"/>
  <c r="G162" i="2" s="1"/>
  <c r="H162" i="2" s="1"/>
  <c r="I162" i="2" s="1"/>
  <c r="J162" i="2" s="1"/>
  <c r="K162" i="2" s="1"/>
  <c r="D262" i="2"/>
  <c r="C262" i="2" s="1"/>
  <c r="F262" i="2"/>
  <c r="G262" i="2" s="1"/>
  <c r="H262" i="2" s="1"/>
  <c r="I262" i="2" s="1"/>
  <c r="J262" i="2" s="1"/>
  <c r="K262" i="2" s="1"/>
  <c r="I204" i="2"/>
  <c r="D215" i="2"/>
  <c r="C215" i="2" s="1"/>
  <c r="F215" i="2"/>
  <c r="G215" i="2" s="1"/>
  <c r="H215" i="2" s="1"/>
  <c r="I215" i="2" s="1"/>
  <c r="J215" i="2" s="1"/>
  <c r="K215" i="2" s="1"/>
  <c r="I264" i="2"/>
  <c r="H264" i="2"/>
  <c r="K264" i="2"/>
  <c r="G264" i="2"/>
  <c r="G182" i="2"/>
  <c r="H166" i="2"/>
  <c r="I226" i="2"/>
  <c r="J239" i="2"/>
  <c r="K239" i="2" s="1"/>
  <c r="G240" i="2"/>
  <c r="F264" i="2"/>
  <c r="D237" i="2"/>
  <c r="C237" i="2" s="1"/>
  <c r="F193" i="2"/>
  <c r="F80" i="2" s="1"/>
  <c r="G190" i="2" s="1"/>
  <c r="F216" i="2"/>
  <c r="H238" i="2"/>
  <c r="G127" i="2" l="1"/>
  <c r="G130" i="2" s="1"/>
  <c r="H127" i="2" s="1"/>
  <c r="H130" i="2" s="1"/>
  <c r="F102" i="2"/>
  <c r="F62" i="2" s="1"/>
  <c r="F124" i="2"/>
  <c r="F146" i="2" s="1"/>
  <c r="F147" i="2" s="1"/>
  <c r="F17" i="2"/>
  <c r="F18" i="2" s="1"/>
  <c r="F23" i="2"/>
  <c r="F21" i="2" s="1"/>
  <c r="C109" i="2"/>
  <c r="E109" i="2"/>
  <c r="D109" i="2"/>
  <c r="E110" i="2" s="1"/>
  <c r="H240" i="2"/>
  <c r="I240" i="2" s="1"/>
  <c r="J240" i="2" s="1"/>
  <c r="K240" i="2" s="1"/>
  <c r="E136" i="2"/>
  <c r="E28" i="2"/>
  <c r="E31" i="2"/>
  <c r="E36" i="2" s="1"/>
  <c r="E38" i="2" s="1"/>
  <c r="D28" i="2"/>
  <c r="D51" i="2"/>
  <c r="G100" i="2"/>
  <c r="I238" i="2"/>
  <c r="J226" i="2"/>
  <c r="F164" i="2"/>
  <c r="E93" i="2"/>
  <c r="E95" i="2" s="1"/>
  <c r="G193" i="2"/>
  <c r="G80" i="2" s="1"/>
  <c r="H190" i="2" s="1"/>
  <c r="F205" i="2"/>
  <c r="H182" i="2"/>
  <c r="H152" i="2"/>
  <c r="I166" i="2"/>
  <c r="J204" i="2"/>
  <c r="G241" i="2"/>
  <c r="C51" i="2"/>
  <c r="C28" i="2"/>
  <c r="C31" i="2"/>
  <c r="C36" i="2" s="1"/>
  <c r="D39" i="2"/>
  <c r="D52" i="2"/>
  <c r="D38" i="2"/>
  <c r="F60" i="2"/>
  <c r="G68" i="2" l="1"/>
  <c r="F27" i="2"/>
  <c r="G23" i="2"/>
  <c r="G21" i="2" s="1"/>
  <c r="G102" i="2"/>
  <c r="G62" i="2" s="1"/>
  <c r="F267" i="2" a="1"/>
  <c r="J267" i="2" s="1"/>
  <c r="F106" i="2"/>
  <c r="F76" i="2" s="1"/>
  <c r="F105" i="2"/>
  <c r="F75" i="2" s="1"/>
  <c r="F22" i="2"/>
  <c r="F101" i="2"/>
  <c r="F61" i="2" s="1"/>
  <c r="G205" i="2"/>
  <c r="D110" i="2"/>
  <c r="H241" i="2"/>
  <c r="I127" i="2"/>
  <c r="I130" i="2" s="1"/>
  <c r="H68" i="2"/>
  <c r="G17" i="2"/>
  <c r="G18" i="2" s="1"/>
  <c r="G124" i="2"/>
  <c r="G268" i="2" s="1" a="1"/>
  <c r="H15" i="2"/>
  <c r="H102" i="2" s="1"/>
  <c r="H62" i="2" s="1"/>
  <c r="E52" i="2"/>
  <c r="E39" i="2"/>
  <c r="E172" i="2" s="1"/>
  <c r="I182" i="2"/>
  <c r="J166" i="2"/>
  <c r="I152" i="2"/>
  <c r="D231" i="2"/>
  <c r="D172" i="2"/>
  <c r="I241" i="2"/>
  <c r="J238" i="2"/>
  <c r="G60" i="2"/>
  <c r="C52" i="2"/>
  <c r="C38" i="2"/>
  <c r="C39" i="2"/>
  <c r="K204" i="2"/>
  <c r="H193" i="2"/>
  <c r="H80" i="2" s="1"/>
  <c r="I190" i="2" s="1"/>
  <c r="K226" i="2"/>
  <c r="G22" i="2" l="1"/>
  <c r="G27" i="2"/>
  <c r="G105" i="2"/>
  <c r="G75" i="2" s="1"/>
  <c r="F107" i="2"/>
  <c r="H267" i="2"/>
  <c r="I267" i="2"/>
  <c r="G267" i="2"/>
  <c r="F267" i="2"/>
  <c r="F273" i="2" s="1"/>
  <c r="F275" i="2" s="1"/>
  <c r="F123" i="2" s="1"/>
  <c r="F29" i="2" s="1"/>
  <c r="K267" i="2"/>
  <c r="G101" i="2"/>
  <c r="G61" i="2" s="1"/>
  <c r="F103" i="2"/>
  <c r="G146" i="2"/>
  <c r="G147" i="2" s="1"/>
  <c r="H205" i="2"/>
  <c r="J127" i="2"/>
  <c r="J130" i="2" s="1"/>
  <c r="I68" i="2"/>
  <c r="I15" i="2"/>
  <c r="I124" i="2" s="1"/>
  <c r="H124" i="2"/>
  <c r="H146" i="2" s="1"/>
  <c r="H147" i="2" s="1"/>
  <c r="H23" i="2"/>
  <c r="H21" i="2" s="1"/>
  <c r="H100" i="2"/>
  <c r="H60" i="2" s="1"/>
  <c r="H17" i="2"/>
  <c r="H101" i="2" s="1"/>
  <c r="H61" i="2" s="1"/>
  <c r="G106" i="2"/>
  <c r="G76" i="2" s="1"/>
  <c r="E231" i="2"/>
  <c r="E234" i="2" s="1"/>
  <c r="E41" i="2" s="1"/>
  <c r="C172" i="2"/>
  <c r="C231" i="2"/>
  <c r="I193" i="2"/>
  <c r="I80" i="2" s="1"/>
  <c r="J190" i="2" s="1"/>
  <c r="F78" i="2"/>
  <c r="F83" i="2" s="1"/>
  <c r="J182" i="2"/>
  <c r="K166" i="2"/>
  <c r="J152" i="2"/>
  <c r="E233" i="2"/>
  <c r="E42" i="2" s="1"/>
  <c r="J241" i="2"/>
  <c r="K238" i="2"/>
  <c r="K241" i="2" s="1"/>
  <c r="D233" i="2"/>
  <c r="D42" i="2" s="1"/>
  <c r="D234" i="2"/>
  <c r="D41" i="2" s="1"/>
  <c r="K268" i="2"/>
  <c r="G268" i="2"/>
  <c r="J268" i="2"/>
  <c r="I268" i="2"/>
  <c r="H268" i="2"/>
  <c r="F125" i="2" l="1"/>
  <c r="G122" i="2" s="1"/>
  <c r="F109" i="2"/>
  <c r="F110" i="2" s="1"/>
  <c r="F143" i="2" s="1"/>
  <c r="G273" i="2"/>
  <c r="G275" i="2" s="1"/>
  <c r="G123" i="2" s="1"/>
  <c r="G29" i="2" s="1"/>
  <c r="G31" i="2" s="1"/>
  <c r="J15" i="2"/>
  <c r="J100" i="2" s="1"/>
  <c r="G103" i="2"/>
  <c r="I23" i="2"/>
  <c r="I22" i="2" s="1"/>
  <c r="I102" i="2"/>
  <c r="I62" i="2" s="1"/>
  <c r="H106" i="2"/>
  <c r="H76" i="2" s="1"/>
  <c r="I17" i="2"/>
  <c r="I18" i="2" s="1"/>
  <c r="H22" i="2"/>
  <c r="H269" i="2" a="1"/>
  <c r="I269" i="2" s="1"/>
  <c r="G107" i="2"/>
  <c r="J68" i="2"/>
  <c r="K127" i="2"/>
  <c r="K130" i="2" s="1"/>
  <c r="K68" i="2" s="1"/>
  <c r="I100" i="2"/>
  <c r="I60" i="2" s="1"/>
  <c r="H105" i="2"/>
  <c r="H107" i="2" s="1"/>
  <c r="H18" i="2"/>
  <c r="H27" i="2" s="1"/>
  <c r="H103" i="2"/>
  <c r="C234" i="2"/>
  <c r="C41" i="2" s="1"/>
  <c r="C233" i="2"/>
  <c r="C42" i="2" s="1"/>
  <c r="K182" i="2"/>
  <c r="K152" i="2"/>
  <c r="I270" i="2" a="1"/>
  <c r="I146" i="2"/>
  <c r="I147" i="2" s="1"/>
  <c r="F65" i="2"/>
  <c r="J193" i="2"/>
  <c r="J80" i="2" s="1"/>
  <c r="K190" i="2" s="1"/>
  <c r="F141" i="2"/>
  <c r="F31" i="2"/>
  <c r="I205" i="2"/>
  <c r="G78" i="2"/>
  <c r="G83" i="2" s="1"/>
  <c r="G141" i="2" l="1"/>
  <c r="K15" i="2"/>
  <c r="K100" i="2" s="1"/>
  <c r="J17" i="2"/>
  <c r="J18" i="2" s="1"/>
  <c r="H75" i="2"/>
  <c r="H78" i="2" s="1"/>
  <c r="H83" i="2" s="1"/>
  <c r="G125" i="2"/>
  <c r="H122" i="2" s="1"/>
  <c r="I21" i="2"/>
  <c r="G109" i="2"/>
  <c r="G110" i="2" s="1"/>
  <c r="G143" i="2" s="1"/>
  <c r="J23" i="2"/>
  <c r="J124" i="2"/>
  <c r="J271" i="2" s="1" a="1"/>
  <c r="J102" i="2"/>
  <c r="J62" i="2" s="1"/>
  <c r="I105" i="2"/>
  <c r="J269" i="2"/>
  <c r="I27" i="2"/>
  <c r="I106" i="2"/>
  <c r="I76" i="2" s="1"/>
  <c r="I101" i="2"/>
  <c r="I61" i="2" s="1"/>
  <c r="K269" i="2"/>
  <c r="H269" i="2"/>
  <c r="H273" i="2" s="1"/>
  <c r="H275" i="2" s="1"/>
  <c r="H123" i="2" s="1"/>
  <c r="H29" i="2" s="1"/>
  <c r="H141" i="2" s="1"/>
  <c r="H109" i="2"/>
  <c r="J205" i="2"/>
  <c r="K193" i="2"/>
  <c r="K80" i="2" s="1"/>
  <c r="J60" i="2"/>
  <c r="K270" i="2"/>
  <c r="J270" i="2"/>
  <c r="I270" i="2"/>
  <c r="I273" i="2" s="1"/>
  <c r="I275" i="2" s="1"/>
  <c r="I123" i="2" s="1"/>
  <c r="I29" i="2" s="1"/>
  <c r="K124" i="2" l="1"/>
  <c r="K272" i="2" s="1"/>
  <c r="J105" i="2"/>
  <c r="J75" i="2" s="1"/>
  <c r="K17" i="2"/>
  <c r="K18" i="2" s="1"/>
  <c r="J101" i="2"/>
  <c r="J61" i="2" s="1"/>
  <c r="J106" i="2"/>
  <c r="J76" i="2" s="1"/>
  <c r="K23" i="2"/>
  <c r="K22" i="2" s="1"/>
  <c r="K102" i="2"/>
  <c r="K62" i="2" s="1"/>
  <c r="J27" i="2"/>
  <c r="I107" i="2"/>
  <c r="J146" i="2"/>
  <c r="J147" i="2" s="1"/>
  <c r="G65" i="2"/>
  <c r="I75" i="2"/>
  <c r="I78" i="2" s="1"/>
  <c r="I83" i="2" s="1"/>
  <c r="J21" i="2"/>
  <c r="I103" i="2"/>
  <c r="J22" i="2"/>
  <c r="H110" i="2"/>
  <c r="H143" i="2" s="1"/>
  <c r="H125" i="2"/>
  <c r="I122" i="2" s="1"/>
  <c r="I125" i="2" s="1"/>
  <c r="H31" i="2"/>
  <c r="I141" i="2"/>
  <c r="I31" i="2"/>
  <c r="K60" i="2"/>
  <c r="K271" i="2"/>
  <c r="J271" i="2"/>
  <c r="J273" i="2" s="1"/>
  <c r="J275" i="2" s="1"/>
  <c r="J123" i="2" s="1"/>
  <c r="J29" i="2" s="1"/>
  <c r="J141" i="2" s="1"/>
  <c r="K146" i="2"/>
  <c r="K147" i="2" s="1"/>
  <c r="K105" i="2"/>
  <c r="K205" i="2"/>
  <c r="K106" i="2" l="1"/>
  <c r="K76" i="2" s="1"/>
  <c r="K101" i="2"/>
  <c r="K61" i="2" s="1"/>
  <c r="J103" i="2"/>
  <c r="K21" i="2"/>
  <c r="K27" i="2"/>
  <c r="J107" i="2"/>
  <c r="I109" i="2"/>
  <c r="I110" i="2" s="1"/>
  <c r="I143" i="2" s="1"/>
  <c r="H65" i="2"/>
  <c r="J31" i="2"/>
  <c r="J122" i="2"/>
  <c r="J125" i="2" s="1"/>
  <c r="I65" i="2"/>
  <c r="K107" i="2"/>
  <c r="K75" i="2"/>
  <c r="J78" i="2"/>
  <c r="J83" i="2" s="1"/>
  <c r="K273" i="2"/>
  <c r="K275" i="2" s="1"/>
  <c r="K123" i="2" s="1"/>
  <c r="K29" i="2" s="1"/>
  <c r="K141" i="2" s="1"/>
  <c r="J109" i="2" l="1"/>
  <c r="J110" i="2" s="1"/>
  <c r="J143" i="2" s="1"/>
  <c r="K103" i="2"/>
  <c r="K109" i="2" s="1"/>
  <c r="K110" i="2" s="1"/>
  <c r="K143" i="2" s="1"/>
  <c r="K78" i="2"/>
  <c r="K83" i="2" s="1"/>
  <c r="K31" i="2"/>
  <c r="K122" i="2"/>
  <c r="K125" i="2" s="1"/>
  <c r="K65" i="2" s="1"/>
  <c r="J65" i="2"/>
  <c r="H146" i="3"/>
  <c r="I146" i="3"/>
  <c r="J146" i="3"/>
  <c r="K146" i="3"/>
  <c r="L146" i="3"/>
  <c r="H139" i="4"/>
  <c r="H155" i="4"/>
  <c r="H154" i="4" s="1"/>
  <c r="H262" i="4"/>
  <c r="H307" i="4" l="1"/>
  <c r="H309" i="4" s="1"/>
  <c r="I43" i="4"/>
  <c r="E52" i="4"/>
  <c r="H43" i="4" l="1"/>
  <c r="H230" i="4" l="1"/>
  <c r="E63" i="5" l="1"/>
  <c r="E35" i="5"/>
  <c r="E65" i="5" l="1"/>
  <c r="E70" i="5" s="1"/>
  <c r="E68" i="5"/>
  <c r="F35" i="2"/>
  <c r="G35" i="2"/>
  <c r="H35" i="2"/>
  <c r="I35" i="2"/>
  <c r="J35" i="2"/>
  <c r="K35" i="2"/>
  <c r="F36" i="2"/>
  <c r="G36" i="2"/>
  <c r="H36" i="2"/>
  <c r="I36" i="2"/>
  <c r="J36" i="2"/>
  <c r="K36" i="2"/>
  <c r="F37" i="2"/>
  <c r="G37" i="2"/>
  <c r="H37" i="2"/>
  <c r="I37" i="2"/>
  <c r="J37" i="2"/>
  <c r="K37" i="2"/>
  <c r="F39" i="2"/>
  <c r="G39" i="2"/>
  <c r="H39" i="2"/>
  <c r="I39" i="2"/>
  <c r="J39" i="2"/>
  <c r="K39" i="2"/>
  <c r="F41" i="2"/>
  <c r="G41" i="2"/>
  <c r="H41" i="2"/>
  <c r="I41" i="2"/>
  <c r="J41" i="2"/>
  <c r="K41" i="2"/>
  <c r="F42" i="2"/>
  <c r="G42" i="2"/>
  <c r="H42" i="2"/>
  <c r="I42" i="2"/>
  <c r="J42" i="2"/>
  <c r="K42" i="2"/>
  <c r="F58" i="2"/>
  <c r="G58" i="2"/>
  <c r="H58" i="2"/>
  <c r="I58" i="2"/>
  <c r="J58" i="2"/>
  <c r="K58" i="2"/>
  <c r="F63" i="2"/>
  <c r="G63" i="2"/>
  <c r="H63" i="2"/>
  <c r="I63" i="2"/>
  <c r="J63" i="2"/>
  <c r="K63" i="2"/>
  <c r="F72" i="2"/>
  <c r="G72" i="2"/>
  <c r="H72" i="2"/>
  <c r="I72" i="2"/>
  <c r="J72" i="2"/>
  <c r="K72" i="2"/>
  <c r="F92" i="2"/>
  <c r="G92" i="2"/>
  <c r="H92" i="2"/>
  <c r="I92" i="2"/>
  <c r="J92" i="2"/>
  <c r="K92" i="2"/>
  <c r="F93" i="2"/>
  <c r="G93" i="2"/>
  <c r="H93" i="2"/>
  <c r="I93" i="2"/>
  <c r="J93" i="2"/>
  <c r="K93" i="2"/>
  <c r="F95" i="2"/>
  <c r="G95" i="2"/>
  <c r="H95" i="2"/>
  <c r="I95" i="2"/>
  <c r="J95" i="2"/>
  <c r="K95" i="2"/>
  <c r="F140" i="2"/>
  <c r="G140" i="2"/>
  <c r="H140" i="2"/>
  <c r="I140" i="2"/>
  <c r="J140" i="2"/>
  <c r="K140" i="2"/>
  <c r="F144" i="2"/>
  <c r="G144" i="2"/>
  <c r="H144" i="2"/>
  <c r="I144" i="2"/>
  <c r="J144" i="2"/>
  <c r="K144" i="2"/>
  <c r="F149" i="2"/>
  <c r="G149" i="2"/>
  <c r="H149" i="2"/>
  <c r="I149" i="2"/>
  <c r="J149" i="2"/>
  <c r="K149" i="2"/>
  <c r="F153" i="2"/>
  <c r="G153" i="2"/>
  <c r="H153" i="2"/>
  <c r="I153" i="2"/>
  <c r="J153" i="2"/>
  <c r="K153" i="2"/>
  <c r="F155" i="2"/>
  <c r="G155" i="2"/>
  <c r="H155" i="2"/>
  <c r="I155" i="2"/>
  <c r="J155" i="2"/>
  <c r="K155" i="2"/>
  <c r="G157" i="2"/>
  <c r="H157" i="2"/>
  <c r="I157" i="2"/>
  <c r="J157" i="2"/>
  <c r="K157" i="2"/>
  <c r="F158" i="2"/>
  <c r="G158" i="2"/>
  <c r="H158" i="2"/>
  <c r="I158" i="2"/>
  <c r="J158" i="2"/>
  <c r="K158" i="2"/>
  <c r="F159" i="2"/>
  <c r="G159" i="2"/>
  <c r="H159" i="2"/>
  <c r="I159" i="2"/>
  <c r="J159" i="2"/>
  <c r="K159" i="2"/>
  <c r="G164" i="2"/>
  <c r="H164" i="2"/>
  <c r="I164" i="2"/>
  <c r="J164" i="2"/>
  <c r="K164" i="2"/>
  <c r="F165" i="2"/>
  <c r="G165" i="2"/>
  <c r="H165" i="2"/>
  <c r="I165" i="2"/>
  <c r="J165" i="2"/>
  <c r="K165" i="2"/>
  <c r="F167" i="2"/>
  <c r="G167" i="2"/>
  <c r="H167" i="2"/>
  <c r="I167" i="2"/>
  <c r="J167" i="2"/>
  <c r="K167" i="2"/>
  <c r="F169" i="2"/>
  <c r="G169" i="2"/>
  <c r="H169" i="2"/>
  <c r="I169" i="2"/>
  <c r="J169" i="2"/>
  <c r="K169" i="2"/>
  <c r="F173" i="2"/>
  <c r="G173" i="2"/>
  <c r="H173" i="2"/>
  <c r="I173" i="2"/>
  <c r="J173" i="2"/>
  <c r="K173" i="2"/>
  <c r="L176" i="2"/>
  <c r="F181" i="2"/>
  <c r="G181" i="2"/>
  <c r="H181" i="2"/>
  <c r="I181" i="2"/>
  <c r="J181" i="2"/>
  <c r="K181" i="2"/>
  <c r="F183" i="2"/>
  <c r="G183" i="2"/>
  <c r="H183" i="2"/>
  <c r="I183" i="2"/>
  <c r="J183" i="2"/>
  <c r="K183" i="2"/>
  <c r="G185" i="2"/>
  <c r="H185" i="2"/>
  <c r="I185" i="2"/>
  <c r="J185" i="2"/>
  <c r="K185" i="2"/>
  <c r="F187" i="2"/>
  <c r="G187" i="2"/>
  <c r="H187" i="2"/>
  <c r="I187" i="2"/>
  <c r="J187" i="2"/>
  <c r="K187" i="2"/>
  <c r="F196" i="2"/>
  <c r="G196" i="2"/>
  <c r="H196" i="2"/>
  <c r="I196" i="2"/>
  <c r="J196" i="2"/>
  <c r="K196" i="2"/>
  <c r="G197" i="2"/>
  <c r="H197" i="2"/>
  <c r="I197" i="2"/>
  <c r="J197" i="2"/>
  <c r="K197" i="2"/>
  <c r="F198" i="2"/>
  <c r="G198" i="2"/>
  <c r="H198" i="2"/>
  <c r="I198" i="2"/>
  <c r="J198" i="2"/>
  <c r="K198" i="2"/>
  <c r="F199" i="2"/>
  <c r="G199" i="2"/>
  <c r="H199" i="2"/>
  <c r="I199" i="2"/>
  <c r="J199" i="2"/>
  <c r="K199" i="2"/>
  <c r="F203" i="2"/>
  <c r="G203" i="2"/>
  <c r="H203" i="2"/>
  <c r="I203" i="2"/>
  <c r="J203" i="2"/>
  <c r="K203" i="2"/>
  <c r="F206" i="2"/>
  <c r="G206" i="2"/>
  <c r="H206" i="2"/>
  <c r="I206" i="2"/>
  <c r="J206" i="2"/>
  <c r="K206" i="2"/>
  <c r="F208" i="2"/>
  <c r="G208" i="2"/>
  <c r="H208" i="2"/>
  <c r="I208" i="2"/>
  <c r="J208" i="2"/>
  <c r="K208" i="2"/>
  <c r="F210" i="2"/>
  <c r="G210" i="2"/>
  <c r="H210" i="2"/>
  <c r="I210" i="2"/>
  <c r="J210" i="2"/>
  <c r="K210" i="2"/>
  <c r="F212" i="2"/>
  <c r="G212" i="2"/>
  <c r="H212" i="2"/>
  <c r="I212" i="2"/>
  <c r="J212" i="2"/>
  <c r="K212" i="2"/>
  <c r="G216" i="2"/>
  <c r="H216" i="2"/>
  <c r="I216" i="2"/>
  <c r="J216" i="2"/>
  <c r="K216" i="2"/>
  <c r="F219" i="2"/>
  <c r="G219" i="2"/>
  <c r="H219" i="2"/>
  <c r="I219" i="2"/>
  <c r="J219" i="2"/>
  <c r="K219" i="2"/>
  <c r="F220" i="2"/>
  <c r="G220" i="2"/>
  <c r="H220" i="2"/>
  <c r="I220" i="2"/>
  <c r="J220" i="2"/>
  <c r="K220" i="2"/>
  <c r="F223" i="2"/>
  <c r="G223" i="2"/>
  <c r="H223" i="2"/>
  <c r="I223" i="2"/>
  <c r="J223" i="2"/>
  <c r="K223" i="2"/>
  <c r="F227" i="2"/>
  <c r="G227" i="2"/>
  <c r="H227" i="2"/>
  <c r="I227" i="2"/>
  <c r="J227" i="2"/>
  <c r="K227" i="2"/>
  <c r="F228" i="2"/>
  <c r="G228" i="2"/>
  <c r="H228" i="2"/>
  <c r="I228" i="2"/>
  <c r="J228" i="2"/>
  <c r="K228" i="2"/>
  <c r="F231" i="2"/>
  <c r="G231" i="2"/>
  <c r="H231" i="2"/>
  <c r="I231" i="2"/>
  <c r="J231" i="2"/>
  <c r="K231" i="2"/>
  <c r="F232" i="2"/>
  <c r="G232" i="2"/>
  <c r="H232" i="2"/>
  <c r="I232" i="2"/>
  <c r="J232" i="2"/>
  <c r="K232" i="2"/>
  <c r="F233" i="2"/>
  <c r="G233" i="2"/>
  <c r="H233" i="2"/>
  <c r="I233" i="2"/>
  <c r="J233" i="2"/>
  <c r="K233" i="2"/>
  <c r="F234" i="2"/>
  <c r="G234" i="2"/>
  <c r="H234" i="2"/>
  <c r="I234" i="2"/>
  <c r="J234" i="2"/>
  <c r="K234" i="2"/>
  <c r="G24" i="9"/>
  <c r="H24" i="9"/>
  <c r="I24" i="9"/>
  <c r="J24" i="9"/>
  <c r="F25" i="9"/>
  <c r="G25" i="9"/>
  <c r="H25" i="9"/>
  <c r="I25" i="9"/>
  <c r="J25" i="9"/>
  <c r="F26" i="9"/>
  <c r="G26" i="9"/>
  <c r="H26" i="9"/>
  <c r="I26" i="9"/>
  <c r="J26" i="9"/>
  <c r="C43" i="9"/>
  <c r="D43" i="9"/>
  <c r="E43" i="9"/>
  <c r="H43" i="9"/>
  <c r="I43" i="9"/>
  <c r="C44" i="9"/>
  <c r="D44" i="9"/>
  <c r="E44" i="9"/>
  <c r="H44" i="9"/>
  <c r="I44" i="9"/>
  <c r="C45" i="9"/>
  <c r="D45" i="9"/>
  <c r="E45" i="9"/>
  <c r="H45" i="9"/>
  <c r="I45" i="9"/>
  <c r="C68" i="9"/>
  <c r="D68" i="9"/>
  <c r="E68" i="9"/>
  <c r="C69" i="9"/>
  <c r="D69" i="9"/>
  <c r="E69" i="9"/>
  <c r="C70" i="9"/>
  <c r="D70" i="9"/>
  <c r="E70" i="9"/>
  <c r="E76" i="9"/>
  <c r="E77" i="9"/>
  <c r="E78" i="9"/>
  <c r="E81" i="9"/>
  <c r="I83" i="9" a="1"/>
  <c r="I83" i="9"/>
  <c r="E84" i="9"/>
  <c r="E86" i="9"/>
  <c r="J35" i="4"/>
  <c r="D41" i="4"/>
  <c r="J41" i="4"/>
  <c r="D42" i="4"/>
  <c r="J42" i="4"/>
  <c r="C43" i="4"/>
  <c r="D43" i="4"/>
  <c r="J43" i="4"/>
  <c r="D44" i="4"/>
  <c r="H44" i="4"/>
  <c r="I44" i="4"/>
  <c r="J44" i="4"/>
  <c r="C45" i="4"/>
  <c r="D45" i="4"/>
  <c r="I45" i="4"/>
  <c r="J45" i="4"/>
  <c r="I46" i="4"/>
  <c r="J46" i="4"/>
  <c r="D53" i="4"/>
  <c r="E53" i="4"/>
  <c r="L53" i="4"/>
  <c r="D55" i="4"/>
  <c r="D56" i="4"/>
  <c r="H81" i="4"/>
  <c r="I81" i="4"/>
  <c r="J81" i="4"/>
  <c r="K81" i="4"/>
  <c r="L81" i="4"/>
  <c r="H85" i="4"/>
  <c r="I85" i="4"/>
  <c r="J85" i="4"/>
  <c r="K85" i="4"/>
  <c r="L85" i="4"/>
  <c r="E88" i="4"/>
  <c r="G88" i="4"/>
  <c r="H88" i="4"/>
  <c r="I88" i="4"/>
  <c r="J88" i="4"/>
  <c r="K88" i="4"/>
  <c r="L88" i="4"/>
  <c r="G91" i="4"/>
  <c r="H91" i="4"/>
  <c r="I91" i="4"/>
  <c r="J91" i="4"/>
  <c r="K91" i="4"/>
  <c r="L91" i="4"/>
  <c r="G93" i="4"/>
  <c r="H93" i="4"/>
  <c r="I93" i="4"/>
  <c r="J93" i="4"/>
  <c r="K93" i="4"/>
  <c r="L93" i="4"/>
  <c r="E101" i="4"/>
  <c r="G101" i="4"/>
  <c r="H101" i="4"/>
  <c r="I101" i="4"/>
  <c r="J101" i="4"/>
  <c r="K101" i="4"/>
  <c r="L101" i="4"/>
  <c r="H102" i="4"/>
  <c r="I102" i="4"/>
  <c r="J102" i="4"/>
  <c r="K102" i="4"/>
  <c r="L102" i="4"/>
  <c r="G104" i="4"/>
  <c r="H104" i="4"/>
  <c r="I104" i="4"/>
  <c r="J104" i="4"/>
  <c r="K104" i="4"/>
  <c r="L104" i="4"/>
  <c r="G106" i="4"/>
  <c r="H106" i="4"/>
  <c r="I106" i="4"/>
  <c r="J106" i="4"/>
  <c r="K106" i="4"/>
  <c r="L106" i="4"/>
  <c r="E108" i="4"/>
  <c r="G108" i="4"/>
  <c r="H108" i="4"/>
  <c r="I108" i="4"/>
  <c r="J108" i="4"/>
  <c r="K108" i="4"/>
  <c r="L108" i="4"/>
  <c r="G109" i="4"/>
  <c r="H109" i="4"/>
  <c r="I109" i="4"/>
  <c r="J109" i="4"/>
  <c r="K109" i="4"/>
  <c r="L109" i="4"/>
  <c r="G111" i="4"/>
  <c r="H111" i="4"/>
  <c r="I111" i="4"/>
  <c r="J111" i="4"/>
  <c r="K111" i="4"/>
  <c r="L111" i="4"/>
  <c r="G113" i="4"/>
  <c r="H113" i="4"/>
  <c r="I113" i="4"/>
  <c r="J113" i="4"/>
  <c r="K113" i="4"/>
  <c r="L113" i="4"/>
  <c r="H157" i="4"/>
  <c r="I157" i="4"/>
  <c r="J157" i="4"/>
  <c r="K157" i="4"/>
  <c r="L157" i="4"/>
  <c r="H159" i="4"/>
  <c r="I159" i="4"/>
  <c r="J159" i="4"/>
  <c r="K159" i="4"/>
  <c r="L159" i="4"/>
  <c r="H160" i="4"/>
  <c r="I160" i="4"/>
  <c r="J160" i="4"/>
  <c r="K160" i="4"/>
  <c r="L160" i="4"/>
  <c r="H161" i="4"/>
  <c r="I161" i="4"/>
  <c r="J161" i="4"/>
  <c r="K161" i="4"/>
  <c r="L161" i="4"/>
  <c r="H199" i="4"/>
  <c r="I199" i="4"/>
  <c r="J199" i="4"/>
  <c r="K199" i="4"/>
  <c r="L199" i="4"/>
  <c r="H203" i="4"/>
  <c r="I203" i="4"/>
  <c r="J203" i="4"/>
  <c r="K203" i="4"/>
  <c r="L203" i="4"/>
  <c r="H204" i="4"/>
  <c r="I204" i="4"/>
  <c r="J204" i="4"/>
  <c r="K204" i="4"/>
  <c r="L204" i="4"/>
  <c r="H209" i="4"/>
  <c r="I209" i="4"/>
  <c r="J209" i="4"/>
  <c r="K209" i="4"/>
  <c r="L209" i="4"/>
  <c r="H211" i="4"/>
  <c r="I211" i="4"/>
  <c r="J211" i="4"/>
  <c r="K211" i="4"/>
  <c r="L211" i="4"/>
  <c r="H214" i="4"/>
  <c r="I214" i="4"/>
  <c r="J214" i="4"/>
  <c r="K214" i="4"/>
  <c r="L214" i="4"/>
  <c r="H215" i="4"/>
  <c r="I215" i="4"/>
  <c r="J215" i="4"/>
  <c r="K215" i="4"/>
  <c r="L215" i="4"/>
  <c r="I217" i="4"/>
  <c r="J217" i="4"/>
  <c r="K217" i="4"/>
  <c r="L217" i="4"/>
  <c r="H218" i="4"/>
  <c r="I218" i="4"/>
  <c r="J218" i="4"/>
  <c r="K218" i="4"/>
  <c r="L218" i="4"/>
  <c r="H219" i="4"/>
  <c r="I219" i="4"/>
  <c r="J219" i="4"/>
  <c r="K219" i="4"/>
  <c r="L219" i="4"/>
  <c r="H224" i="4"/>
  <c r="I224" i="4"/>
  <c r="J224" i="4"/>
  <c r="K224" i="4"/>
  <c r="L224" i="4"/>
  <c r="I225" i="4"/>
  <c r="J225" i="4"/>
  <c r="K225" i="4"/>
  <c r="L225" i="4"/>
  <c r="H227" i="4"/>
  <c r="I227" i="4"/>
  <c r="J227" i="4"/>
  <c r="K227" i="4"/>
  <c r="L227" i="4"/>
  <c r="I230" i="4"/>
  <c r="J230" i="4"/>
  <c r="K230" i="4"/>
  <c r="L230" i="4"/>
  <c r="H231" i="4"/>
  <c r="I231" i="4"/>
  <c r="J231" i="4"/>
  <c r="K231" i="4"/>
  <c r="L231" i="4"/>
  <c r="H232" i="4"/>
  <c r="I232" i="4"/>
  <c r="J232" i="4"/>
  <c r="K232" i="4"/>
  <c r="L232" i="4"/>
  <c r="H233" i="4"/>
  <c r="I233" i="4"/>
  <c r="J233" i="4"/>
  <c r="K233" i="4"/>
  <c r="L233" i="4"/>
  <c r="H234" i="4"/>
  <c r="I234" i="4"/>
  <c r="J234" i="4"/>
  <c r="K234" i="4"/>
  <c r="L234" i="4"/>
  <c r="H237" i="4"/>
  <c r="I237" i="4"/>
  <c r="J237" i="4"/>
  <c r="K237" i="4"/>
  <c r="L237" i="4"/>
  <c r="H238" i="4"/>
  <c r="I238" i="4"/>
  <c r="J238" i="4"/>
  <c r="K238" i="4"/>
  <c r="L238" i="4"/>
  <c r="H239" i="4"/>
  <c r="I239" i="4"/>
  <c r="J239" i="4"/>
  <c r="K239" i="4"/>
  <c r="L239" i="4"/>
  <c r="G240" i="4"/>
  <c r="H240" i="4"/>
  <c r="I240" i="4"/>
  <c r="J240" i="4"/>
  <c r="K240" i="4"/>
  <c r="L240" i="4"/>
  <c r="I243" i="4"/>
  <c r="J243" i="4"/>
  <c r="K243" i="4"/>
  <c r="L243" i="4"/>
  <c r="I244" i="4"/>
  <c r="J244" i="4"/>
  <c r="K244" i="4"/>
  <c r="L244" i="4"/>
  <c r="H245" i="4"/>
  <c r="I245" i="4"/>
  <c r="J245" i="4"/>
  <c r="K245" i="4"/>
  <c r="L245" i="4"/>
  <c r="H246" i="4"/>
  <c r="I246" i="4"/>
  <c r="J246" i="4"/>
  <c r="K246" i="4"/>
  <c r="L246" i="4"/>
  <c r="G250" i="4"/>
  <c r="H250" i="4"/>
  <c r="I250" i="4"/>
  <c r="J250" i="4"/>
  <c r="K250" i="4"/>
  <c r="L250" i="4"/>
  <c r="G251" i="4"/>
  <c r="H251" i="4"/>
  <c r="I251" i="4"/>
  <c r="J251" i="4"/>
  <c r="K251" i="4"/>
  <c r="L251" i="4"/>
  <c r="H252" i="4"/>
  <c r="I252" i="4"/>
  <c r="J252" i="4"/>
  <c r="K252" i="4"/>
  <c r="L252" i="4"/>
  <c r="H253" i="4"/>
  <c r="I253" i="4"/>
  <c r="J253" i="4"/>
  <c r="K253" i="4"/>
  <c r="L253" i="4"/>
  <c r="H254" i="4"/>
  <c r="I254" i="4"/>
  <c r="J254" i="4"/>
  <c r="K254" i="4"/>
  <c r="L254" i="4"/>
  <c r="H255" i="4"/>
  <c r="I255" i="4"/>
  <c r="J255" i="4"/>
  <c r="K255" i="4"/>
  <c r="L255" i="4"/>
  <c r="H256" i="4"/>
  <c r="I256" i="4"/>
  <c r="J256" i="4"/>
  <c r="K256" i="4"/>
  <c r="L256" i="4"/>
  <c r="G257" i="4"/>
  <c r="H257" i="4"/>
  <c r="I257" i="4"/>
  <c r="J257" i="4"/>
  <c r="K257" i="4"/>
  <c r="L257" i="4"/>
  <c r="G260" i="4"/>
  <c r="H260" i="4"/>
  <c r="I260" i="4"/>
  <c r="J260" i="4"/>
  <c r="K260" i="4"/>
  <c r="L260" i="4"/>
  <c r="G261" i="4"/>
  <c r="H261" i="4"/>
  <c r="I261" i="4"/>
  <c r="J261" i="4"/>
  <c r="K261" i="4"/>
  <c r="L261" i="4"/>
  <c r="H263" i="4"/>
  <c r="I263" i="4"/>
  <c r="J263" i="4"/>
  <c r="K263" i="4"/>
  <c r="L263" i="4"/>
  <c r="H264" i="4"/>
  <c r="I264" i="4"/>
  <c r="J264" i="4"/>
  <c r="K264" i="4"/>
  <c r="L264" i="4"/>
  <c r="H266" i="4"/>
  <c r="I266" i="4"/>
  <c r="J266" i="4"/>
  <c r="K266" i="4"/>
  <c r="L266" i="4"/>
  <c r="H267" i="4"/>
  <c r="I267" i="4"/>
  <c r="J267" i="4"/>
  <c r="K267" i="4"/>
  <c r="L267" i="4"/>
  <c r="H269" i="4"/>
  <c r="I269" i="4"/>
  <c r="J269" i="4"/>
  <c r="K269" i="4"/>
  <c r="L269" i="4"/>
  <c r="H277" i="4"/>
  <c r="I277" i="4"/>
  <c r="J277" i="4"/>
  <c r="K277" i="4"/>
  <c r="L277" i="4"/>
  <c r="H278" i="4"/>
  <c r="I278" i="4"/>
  <c r="J278" i="4"/>
  <c r="K278" i="4"/>
  <c r="L278" i="4"/>
  <c r="H279" i="4"/>
  <c r="I279" i="4"/>
  <c r="J279" i="4"/>
  <c r="K279" i="4"/>
  <c r="L279" i="4"/>
  <c r="H280" i="4"/>
  <c r="I280" i="4"/>
  <c r="J280" i="4"/>
  <c r="K280" i="4"/>
  <c r="L280" i="4"/>
  <c r="H281" i="4"/>
  <c r="I281" i="4"/>
  <c r="J281" i="4"/>
  <c r="K281" i="4"/>
  <c r="L281" i="4"/>
  <c r="E285" i="4"/>
  <c r="H285" i="4"/>
  <c r="I285" i="4"/>
  <c r="J285" i="4"/>
  <c r="K285" i="4"/>
  <c r="L285" i="4"/>
  <c r="H286" i="4"/>
  <c r="I286" i="4"/>
  <c r="J286" i="4"/>
  <c r="K286" i="4"/>
  <c r="L286" i="4"/>
  <c r="H288" i="4"/>
  <c r="I288" i="4"/>
  <c r="J288" i="4"/>
  <c r="K288" i="4"/>
  <c r="L288" i="4"/>
  <c r="H290" i="4"/>
  <c r="I290" i="4"/>
  <c r="J290" i="4"/>
  <c r="K290" i="4"/>
  <c r="L290" i="4"/>
  <c r="H294" i="4"/>
  <c r="I294" i="4"/>
  <c r="J294" i="4"/>
  <c r="K294" i="4"/>
  <c r="L294" i="4"/>
  <c r="H295" i="4"/>
  <c r="I295" i="4"/>
  <c r="J295" i="4"/>
  <c r="K295" i="4"/>
  <c r="L295" i="4"/>
  <c r="H298" i="4"/>
  <c r="I298" i="4"/>
  <c r="J298" i="4"/>
  <c r="K298" i="4"/>
  <c r="L298" i="4"/>
  <c r="H299" i="4"/>
  <c r="I299" i="4"/>
  <c r="J299" i="4"/>
  <c r="K299" i="4"/>
  <c r="L299" i="4"/>
  <c r="H300" i="4"/>
  <c r="I300" i="4"/>
  <c r="J300" i="4"/>
  <c r="K300" i="4"/>
  <c r="L300" i="4"/>
  <c r="H302" i="4"/>
  <c r="I302" i="4"/>
  <c r="J302" i="4"/>
  <c r="K302" i="4"/>
  <c r="L302" i="4"/>
  <c r="H310" i="4"/>
  <c r="I310" i="4"/>
  <c r="J310" i="4"/>
  <c r="K310" i="4"/>
  <c r="L310" i="4"/>
  <c r="H311" i="4"/>
  <c r="I311" i="4"/>
  <c r="J311" i="4"/>
  <c r="K311" i="4"/>
  <c r="L311" i="4"/>
  <c r="H313" i="4"/>
  <c r="I313" i="4"/>
  <c r="J313" i="4"/>
  <c r="K313" i="4"/>
  <c r="L313" i="4"/>
  <c r="I316" i="4"/>
  <c r="J316" i="4"/>
  <c r="K316" i="4"/>
  <c r="L316" i="4"/>
  <c r="H317" i="4"/>
  <c r="I317" i="4"/>
  <c r="J317" i="4"/>
  <c r="K317" i="4"/>
  <c r="L317" i="4"/>
  <c r="H318" i="4"/>
  <c r="I318" i="4"/>
  <c r="J318" i="4"/>
  <c r="K318" i="4"/>
  <c r="L318" i="4"/>
  <c r="H319" i="4"/>
  <c r="I319" i="4"/>
  <c r="J319" i="4"/>
  <c r="K319" i="4"/>
  <c r="L319" i="4"/>
  <c r="H321" i="4"/>
  <c r="I321" i="4"/>
  <c r="J321" i="4"/>
  <c r="K321" i="4"/>
  <c r="L321" i="4"/>
  <c r="I338" i="4"/>
  <c r="J338" i="4"/>
  <c r="K338" i="4"/>
  <c r="L338" i="4"/>
  <c r="H339" i="4"/>
  <c r="I339" i="4"/>
  <c r="J339" i="4"/>
  <c r="K339" i="4"/>
  <c r="L339" i="4"/>
  <c r="H340" i="4"/>
  <c r="I340" i="4"/>
  <c r="J340" i="4"/>
  <c r="K340" i="4"/>
  <c r="L340" i="4"/>
  <c r="H341" i="4"/>
  <c r="I341" i="4"/>
  <c r="J341" i="4"/>
  <c r="K341" i="4"/>
  <c r="L341" i="4"/>
  <c r="G348" i="4"/>
  <c r="G351" i="4"/>
  <c r="G353" i="4"/>
  <c r="H355" i="4"/>
  <c r="I355" i="4"/>
  <c r="J355" i="4"/>
  <c r="K355" i="4"/>
  <c r="L355" i="4"/>
  <c r="H358" i="4"/>
  <c r="I358" i="4"/>
  <c r="J358" i="4"/>
  <c r="K358" i="4"/>
  <c r="L358" i="4"/>
  <c r="G359" i="4"/>
  <c r="H359" i="4"/>
  <c r="I359" i="4"/>
  <c r="J359" i="4"/>
  <c r="K359" i="4"/>
  <c r="L359" i="4"/>
  <c r="G361" i="4"/>
  <c r="H361" i="4"/>
  <c r="I361" i="4"/>
  <c r="J361" i="4"/>
  <c r="K361" i="4"/>
  <c r="L361" i="4"/>
  <c r="H365" i="4"/>
  <c r="I365" i="4"/>
  <c r="J365" i="4"/>
  <c r="K365" i="4"/>
  <c r="L365" i="4"/>
  <c r="H366" i="4"/>
  <c r="I366" i="4"/>
  <c r="J366" i="4"/>
  <c r="K366" i="4"/>
  <c r="L366" i="4"/>
  <c r="H369" i="4"/>
  <c r="I369" i="4"/>
  <c r="J369" i="4"/>
  <c r="K369" i="4"/>
  <c r="L369" i="4"/>
  <c r="H370" i="4"/>
  <c r="I370" i="4"/>
  <c r="J370" i="4"/>
  <c r="K370" i="4"/>
  <c r="L370" i="4"/>
  <c r="H371" i="4"/>
  <c r="I371" i="4"/>
  <c r="J371" i="4"/>
  <c r="K371" i="4"/>
  <c r="L371" i="4"/>
  <c r="H374" i="4"/>
  <c r="I374" i="4"/>
  <c r="J374" i="4"/>
  <c r="K374" i="4"/>
  <c r="L374" i="4"/>
  <c r="H375" i="4"/>
  <c r="I375" i="4"/>
  <c r="J375" i="4"/>
  <c r="K375" i="4"/>
  <c r="L375" i="4"/>
  <c r="H376" i="4"/>
  <c r="I376" i="4"/>
  <c r="J376" i="4"/>
  <c r="K376" i="4"/>
  <c r="L376" i="4"/>
  <c r="H378" i="4"/>
  <c r="I378" i="4"/>
  <c r="J378" i="4"/>
  <c r="K378" i="4"/>
  <c r="L378" i="4"/>
  <c r="H379" i="4"/>
  <c r="I379" i="4"/>
  <c r="J379" i="4"/>
  <c r="K379" i="4"/>
  <c r="L379" i="4"/>
  <c r="H380" i="4"/>
  <c r="I380" i="4"/>
  <c r="J380" i="4"/>
  <c r="K380" i="4"/>
  <c r="L380" i="4"/>
  <c r="H381" i="4"/>
  <c r="I381" i="4"/>
  <c r="J381" i="4"/>
  <c r="K381" i="4"/>
  <c r="L381" i="4"/>
  <c r="H382" i="4"/>
  <c r="I382" i="4"/>
  <c r="J382" i="4"/>
  <c r="K382" i="4"/>
  <c r="L382" i="4"/>
  <c r="E394" i="4"/>
  <c r="E412" i="4"/>
  <c r="E430" i="4"/>
  <c r="E448" i="4"/>
  <c r="E466" i="4"/>
  <c r="E484" i="4"/>
  <c r="E502" i="4"/>
  <c r="F35" i="8"/>
  <c r="G35" i="8"/>
  <c r="H35" i="8"/>
  <c r="I35" i="8"/>
  <c r="J35" i="8"/>
  <c r="K35" i="8"/>
  <c r="F36" i="8"/>
  <c r="G36" i="8"/>
  <c r="H36" i="8"/>
  <c r="I36" i="8"/>
  <c r="J36" i="8"/>
  <c r="K36" i="8"/>
  <c r="F37" i="8"/>
  <c r="G37" i="8"/>
  <c r="H37" i="8"/>
  <c r="I37" i="8"/>
  <c r="J37" i="8"/>
  <c r="K37" i="8"/>
  <c r="F39" i="8"/>
  <c r="G39" i="8"/>
  <c r="H39" i="8"/>
  <c r="I39" i="8"/>
  <c r="J39" i="8"/>
  <c r="K39" i="8"/>
  <c r="F41" i="8"/>
  <c r="G41" i="8"/>
  <c r="H41" i="8"/>
  <c r="I41" i="8"/>
  <c r="J41" i="8"/>
  <c r="K41" i="8"/>
  <c r="F42" i="8"/>
  <c r="G42" i="8"/>
  <c r="H42" i="8"/>
  <c r="I42" i="8"/>
  <c r="J42" i="8"/>
  <c r="K42" i="8"/>
  <c r="F58" i="8"/>
  <c r="G58" i="8"/>
  <c r="H58" i="8"/>
  <c r="I58" i="8"/>
  <c r="J58" i="8"/>
  <c r="K58" i="8"/>
  <c r="F63" i="8"/>
  <c r="G63" i="8"/>
  <c r="H63" i="8"/>
  <c r="I63" i="8"/>
  <c r="J63" i="8"/>
  <c r="K63" i="8"/>
  <c r="F71" i="8"/>
  <c r="G71" i="8"/>
  <c r="H71" i="8"/>
  <c r="I71" i="8"/>
  <c r="J71" i="8"/>
  <c r="K71" i="8"/>
  <c r="F91" i="8"/>
  <c r="G91" i="8"/>
  <c r="H91" i="8"/>
  <c r="I91" i="8"/>
  <c r="J91" i="8"/>
  <c r="K91" i="8"/>
  <c r="F92" i="8"/>
  <c r="G92" i="8"/>
  <c r="H92" i="8"/>
  <c r="I92" i="8"/>
  <c r="J92" i="8"/>
  <c r="K92" i="8"/>
  <c r="F94" i="8"/>
  <c r="G94" i="8"/>
  <c r="H94" i="8"/>
  <c r="I94" i="8"/>
  <c r="J94" i="8"/>
  <c r="K94" i="8"/>
  <c r="F139" i="8"/>
  <c r="G139" i="8"/>
  <c r="H139" i="8"/>
  <c r="I139" i="8"/>
  <c r="J139" i="8"/>
  <c r="K139" i="8"/>
  <c r="F143" i="8"/>
  <c r="G143" i="8"/>
  <c r="H143" i="8"/>
  <c r="I143" i="8"/>
  <c r="J143" i="8"/>
  <c r="K143" i="8"/>
  <c r="F148" i="8"/>
  <c r="G148" i="8"/>
  <c r="H148" i="8"/>
  <c r="I148" i="8"/>
  <c r="J148" i="8"/>
  <c r="K148" i="8"/>
  <c r="F152" i="8"/>
  <c r="G152" i="8"/>
  <c r="H152" i="8"/>
  <c r="I152" i="8"/>
  <c r="J152" i="8"/>
  <c r="K152" i="8"/>
  <c r="F154" i="8"/>
  <c r="G154" i="8"/>
  <c r="H154" i="8"/>
  <c r="I154" i="8"/>
  <c r="J154" i="8"/>
  <c r="K154" i="8"/>
  <c r="G156" i="8"/>
  <c r="H156" i="8"/>
  <c r="I156" i="8"/>
  <c r="J156" i="8"/>
  <c r="K156" i="8"/>
  <c r="F157" i="8"/>
  <c r="G157" i="8"/>
  <c r="H157" i="8"/>
  <c r="I157" i="8"/>
  <c r="J157" i="8"/>
  <c r="K157" i="8"/>
  <c r="F158" i="8"/>
  <c r="G158" i="8"/>
  <c r="H158" i="8"/>
  <c r="I158" i="8"/>
  <c r="J158" i="8"/>
  <c r="K158" i="8"/>
  <c r="G163" i="8"/>
  <c r="H163" i="8"/>
  <c r="I163" i="8"/>
  <c r="J163" i="8"/>
  <c r="K163" i="8"/>
  <c r="F164" i="8"/>
  <c r="G164" i="8"/>
  <c r="H164" i="8"/>
  <c r="I164" i="8"/>
  <c r="J164" i="8"/>
  <c r="K164" i="8"/>
  <c r="F166" i="8"/>
  <c r="G166" i="8"/>
  <c r="H166" i="8"/>
  <c r="I166" i="8"/>
  <c r="J166" i="8"/>
  <c r="K166" i="8"/>
  <c r="F168" i="8"/>
  <c r="G168" i="8"/>
  <c r="H168" i="8"/>
  <c r="I168" i="8"/>
  <c r="J168" i="8"/>
  <c r="K168" i="8"/>
  <c r="F172" i="8"/>
  <c r="G172" i="8"/>
  <c r="H172" i="8"/>
  <c r="I172" i="8"/>
  <c r="J172" i="8"/>
  <c r="K172" i="8"/>
  <c r="L175" i="8"/>
  <c r="F180" i="8"/>
  <c r="G180" i="8"/>
  <c r="H180" i="8"/>
  <c r="I180" i="8"/>
  <c r="J180" i="8"/>
  <c r="K180" i="8"/>
  <c r="F182" i="8"/>
  <c r="G182" i="8"/>
  <c r="H182" i="8"/>
  <c r="I182" i="8"/>
  <c r="J182" i="8"/>
  <c r="K182" i="8"/>
  <c r="G184" i="8"/>
  <c r="H184" i="8"/>
  <c r="I184" i="8"/>
  <c r="J184" i="8"/>
  <c r="K184" i="8"/>
  <c r="F186" i="8"/>
  <c r="G186" i="8"/>
  <c r="H186" i="8"/>
  <c r="I186" i="8"/>
  <c r="J186" i="8"/>
  <c r="K186" i="8"/>
  <c r="F195" i="8"/>
  <c r="G195" i="8"/>
  <c r="H195" i="8"/>
  <c r="I195" i="8"/>
  <c r="J195" i="8"/>
  <c r="K195" i="8"/>
  <c r="G196" i="8"/>
  <c r="H196" i="8"/>
  <c r="I196" i="8"/>
  <c r="J196" i="8"/>
  <c r="K196" i="8"/>
  <c r="F197" i="8"/>
  <c r="G197" i="8"/>
  <c r="H197" i="8"/>
  <c r="I197" i="8"/>
  <c r="J197" i="8"/>
  <c r="K197" i="8"/>
  <c r="F198" i="8"/>
  <c r="G198" i="8"/>
  <c r="H198" i="8"/>
  <c r="I198" i="8"/>
  <c r="J198" i="8"/>
  <c r="K198" i="8"/>
  <c r="F202" i="8"/>
  <c r="G202" i="8"/>
  <c r="H202" i="8"/>
  <c r="I202" i="8"/>
  <c r="J202" i="8"/>
  <c r="K202" i="8"/>
  <c r="F205" i="8"/>
  <c r="G205" i="8"/>
  <c r="H205" i="8"/>
  <c r="I205" i="8"/>
  <c r="J205" i="8"/>
  <c r="K205" i="8"/>
  <c r="F207" i="8"/>
  <c r="G207" i="8"/>
  <c r="H207" i="8"/>
  <c r="I207" i="8"/>
  <c r="J207" i="8"/>
  <c r="K207" i="8"/>
  <c r="F209" i="8"/>
  <c r="G209" i="8"/>
  <c r="H209" i="8"/>
  <c r="I209" i="8"/>
  <c r="J209" i="8"/>
  <c r="K209" i="8"/>
  <c r="F211" i="8"/>
  <c r="G211" i="8"/>
  <c r="H211" i="8"/>
  <c r="I211" i="8"/>
  <c r="J211" i="8"/>
  <c r="K211" i="8"/>
  <c r="G215" i="8"/>
  <c r="H215" i="8"/>
  <c r="I215" i="8"/>
  <c r="J215" i="8"/>
  <c r="K215" i="8"/>
  <c r="F218" i="8"/>
  <c r="G218" i="8"/>
  <c r="H218" i="8"/>
  <c r="I218" i="8"/>
  <c r="J218" i="8"/>
  <c r="K218" i="8"/>
  <c r="F219" i="8"/>
  <c r="G219" i="8"/>
  <c r="H219" i="8"/>
  <c r="I219" i="8"/>
  <c r="J219" i="8"/>
  <c r="K219" i="8"/>
  <c r="F222" i="8"/>
  <c r="G222" i="8"/>
  <c r="H222" i="8"/>
  <c r="I222" i="8"/>
  <c r="J222" i="8"/>
  <c r="K222" i="8"/>
  <c r="F226" i="8"/>
  <c r="G226" i="8"/>
  <c r="H226" i="8"/>
  <c r="I226" i="8"/>
  <c r="J226" i="8"/>
  <c r="K226" i="8"/>
  <c r="F227" i="8"/>
  <c r="G227" i="8"/>
  <c r="H227" i="8"/>
  <c r="I227" i="8"/>
  <c r="J227" i="8"/>
  <c r="K227" i="8"/>
  <c r="F230" i="8"/>
  <c r="G230" i="8"/>
  <c r="H230" i="8"/>
  <c r="I230" i="8"/>
  <c r="J230" i="8"/>
  <c r="K230" i="8"/>
  <c r="F231" i="8"/>
  <c r="G231" i="8"/>
  <c r="H231" i="8"/>
  <c r="I231" i="8"/>
  <c r="J231" i="8"/>
  <c r="K231" i="8"/>
  <c r="F232" i="8"/>
  <c r="G232" i="8"/>
  <c r="H232" i="8"/>
  <c r="I232" i="8"/>
  <c r="J232" i="8"/>
  <c r="K232" i="8"/>
  <c r="F233" i="8"/>
  <c r="G233" i="8"/>
  <c r="H233" i="8"/>
  <c r="I233" i="8"/>
  <c r="J233" i="8"/>
  <c r="K233" i="8"/>
  <c r="C252" i="8"/>
  <c r="H85" i="5"/>
  <c r="I85" i="5"/>
  <c r="J85" i="5"/>
  <c r="K85" i="5"/>
  <c r="L85" i="5"/>
  <c r="H87" i="5"/>
  <c r="I87" i="5"/>
  <c r="J87" i="5"/>
  <c r="K87" i="5"/>
  <c r="L87" i="5"/>
  <c r="H88" i="5"/>
  <c r="I88" i="5"/>
  <c r="J88" i="5"/>
  <c r="K88" i="5"/>
  <c r="L88" i="5"/>
  <c r="H89" i="5"/>
  <c r="I89" i="5"/>
  <c r="J89" i="5"/>
  <c r="K89" i="5"/>
  <c r="L89" i="5"/>
  <c r="H127" i="5"/>
  <c r="I127" i="5"/>
  <c r="J127" i="5"/>
  <c r="K127" i="5"/>
  <c r="L127" i="5"/>
  <c r="H134" i="5"/>
  <c r="I134" i="5"/>
  <c r="J134" i="5"/>
  <c r="K134" i="5"/>
  <c r="L134" i="5"/>
  <c r="H139" i="5"/>
  <c r="I139" i="5"/>
  <c r="J139" i="5"/>
  <c r="K139" i="5"/>
  <c r="L139" i="5"/>
  <c r="H143" i="5"/>
  <c r="I143" i="5"/>
  <c r="J143" i="5"/>
  <c r="K143" i="5"/>
  <c r="L143" i="5"/>
  <c r="H144" i="5"/>
  <c r="I144" i="5"/>
  <c r="J144" i="5"/>
  <c r="K144" i="5"/>
  <c r="L144" i="5"/>
  <c r="H145" i="5"/>
  <c r="I145" i="5"/>
  <c r="J145" i="5"/>
  <c r="K145" i="5"/>
  <c r="L145" i="5"/>
  <c r="I147" i="5"/>
  <c r="J147" i="5"/>
  <c r="K147" i="5"/>
  <c r="L147" i="5"/>
  <c r="H148" i="5"/>
  <c r="I148" i="5"/>
  <c r="J148" i="5"/>
  <c r="K148" i="5"/>
  <c r="L148" i="5"/>
  <c r="H149" i="5"/>
  <c r="I149" i="5"/>
  <c r="J149" i="5"/>
  <c r="K149" i="5"/>
  <c r="L149" i="5"/>
  <c r="H154" i="5"/>
  <c r="I154" i="5"/>
  <c r="J154" i="5"/>
  <c r="K154" i="5"/>
  <c r="L154" i="5"/>
  <c r="I155" i="5"/>
  <c r="J155" i="5"/>
  <c r="K155" i="5"/>
  <c r="L155" i="5"/>
  <c r="H157" i="5"/>
  <c r="I157" i="5"/>
  <c r="J157" i="5"/>
  <c r="K157" i="5"/>
  <c r="L157" i="5"/>
  <c r="I160" i="5"/>
  <c r="J160" i="5"/>
  <c r="K160" i="5"/>
  <c r="L160" i="5"/>
  <c r="H161" i="5"/>
  <c r="I161" i="5"/>
  <c r="J161" i="5"/>
  <c r="K161" i="5"/>
  <c r="L161" i="5"/>
  <c r="H162" i="5"/>
  <c r="I162" i="5"/>
  <c r="J162" i="5"/>
  <c r="K162" i="5"/>
  <c r="L162" i="5"/>
  <c r="H163" i="5"/>
  <c r="I163" i="5"/>
  <c r="J163" i="5"/>
  <c r="K163" i="5"/>
  <c r="L163" i="5"/>
  <c r="H164" i="5"/>
  <c r="I164" i="5"/>
  <c r="J164" i="5"/>
  <c r="K164" i="5"/>
  <c r="L164" i="5"/>
  <c r="I167" i="5"/>
  <c r="J167" i="5"/>
  <c r="K167" i="5"/>
  <c r="L167" i="5"/>
  <c r="I168" i="5"/>
  <c r="J168" i="5"/>
  <c r="K168" i="5"/>
  <c r="L168" i="5"/>
  <c r="H169" i="5"/>
  <c r="I169" i="5"/>
  <c r="J169" i="5"/>
  <c r="K169" i="5"/>
  <c r="L169" i="5"/>
  <c r="H170" i="5"/>
  <c r="I170" i="5"/>
  <c r="J170" i="5"/>
  <c r="K170" i="5"/>
  <c r="L170" i="5"/>
  <c r="I173" i="5"/>
  <c r="J173" i="5"/>
  <c r="K173" i="5"/>
  <c r="L173" i="5"/>
  <c r="I174" i="5"/>
  <c r="J174" i="5"/>
  <c r="K174" i="5"/>
  <c r="L174" i="5"/>
  <c r="H175" i="5"/>
  <c r="I175" i="5"/>
  <c r="J175" i="5"/>
  <c r="K175" i="5"/>
  <c r="L175" i="5"/>
  <c r="H176" i="5"/>
  <c r="I176" i="5"/>
  <c r="J176" i="5"/>
  <c r="K176" i="5"/>
  <c r="L176" i="5"/>
  <c r="H180" i="5"/>
  <c r="I180" i="5"/>
  <c r="J180" i="5"/>
  <c r="K180" i="5"/>
  <c r="L180" i="5"/>
  <c r="H181" i="5"/>
  <c r="I181" i="5"/>
  <c r="J181" i="5"/>
  <c r="K181" i="5"/>
  <c r="L181" i="5"/>
  <c r="H182" i="5"/>
  <c r="I182" i="5"/>
  <c r="J182" i="5"/>
  <c r="K182" i="5"/>
  <c r="L182" i="5"/>
  <c r="H183" i="5"/>
  <c r="I183" i="5"/>
  <c r="J183" i="5"/>
  <c r="K183" i="5"/>
  <c r="L183" i="5"/>
  <c r="H184" i="5"/>
  <c r="I184" i="5"/>
  <c r="J184" i="5"/>
  <c r="K184" i="5"/>
  <c r="L184" i="5"/>
  <c r="H185" i="5"/>
  <c r="I185" i="5"/>
  <c r="J185" i="5"/>
  <c r="K185" i="5"/>
  <c r="L185" i="5"/>
  <c r="H186" i="5"/>
  <c r="I186" i="5"/>
  <c r="J186" i="5"/>
  <c r="K186" i="5"/>
  <c r="L186" i="5"/>
  <c r="H187" i="5"/>
  <c r="I187" i="5"/>
  <c r="J187" i="5"/>
  <c r="K187" i="5"/>
  <c r="L187" i="5"/>
  <c r="H190" i="5"/>
  <c r="I190" i="5"/>
  <c r="J190" i="5"/>
  <c r="K190" i="5"/>
  <c r="L190" i="5"/>
  <c r="H191" i="5"/>
  <c r="I191" i="5"/>
  <c r="J191" i="5"/>
  <c r="K191" i="5"/>
  <c r="L191" i="5"/>
  <c r="H193" i="5"/>
  <c r="I193" i="5"/>
  <c r="J193" i="5"/>
  <c r="K193" i="5"/>
  <c r="L193" i="5"/>
  <c r="H194" i="5"/>
  <c r="I194" i="5"/>
  <c r="J194" i="5"/>
  <c r="K194" i="5"/>
  <c r="L194" i="5"/>
  <c r="H197" i="5"/>
  <c r="I197" i="5"/>
  <c r="J197" i="5"/>
  <c r="K197" i="5"/>
  <c r="L197" i="5"/>
  <c r="H199" i="5"/>
  <c r="I199" i="5"/>
  <c r="J199" i="5"/>
  <c r="K199" i="5"/>
  <c r="L199" i="5"/>
  <c r="H207" i="5"/>
  <c r="I207" i="5"/>
  <c r="J207" i="5"/>
  <c r="K207" i="5"/>
  <c r="L207" i="5"/>
  <c r="H208" i="5"/>
  <c r="I208" i="5"/>
  <c r="J208" i="5"/>
  <c r="K208" i="5"/>
  <c r="L208" i="5"/>
  <c r="H209" i="5"/>
  <c r="I209" i="5"/>
  <c r="J209" i="5"/>
  <c r="K209" i="5"/>
  <c r="L209" i="5"/>
  <c r="H210" i="5"/>
  <c r="I210" i="5"/>
  <c r="J210" i="5"/>
  <c r="K210" i="5"/>
  <c r="L210" i="5"/>
  <c r="H211" i="5"/>
  <c r="I211" i="5"/>
  <c r="J211" i="5"/>
  <c r="K211" i="5"/>
  <c r="L211" i="5"/>
  <c r="H216" i="5"/>
  <c r="I216" i="5"/>
  <c r="J216" i="5"/>
  <c r="K216" i="5"/>
  <c r="L216" i="5"/>
  <c r="H218" i="5"/>
  <c r="I218" i="5"/>
  <c r="J218" i="5"/>
  <c r="K218" i="5"/>
  <c r="L218" i="5"/>
  <c r="H222" i="5"/>
  <c r="I222" i="5"/>
  <c r="J222" i="5"/>
  <c r="K222" i="5"/>
  <c r="L222" i="5"/>
  <c r="H223" i="5"/>
  <c r="I223" i="5"/>
  <c r="J223" i="5"/>
  <c r="K223" i="5"/>
  <c r="L223" i="5"/>
  <c r="H226" i="5"/>
  <c r="I226" i="5"/>
  <c r="J226" i="5"/>
  <c r="K226" i="5"/>
  <c r="L226" i="5"/>
  <c r="H227" i="5"/>
  <c r="I227" i="5"/>
  <c r="J227" i="5"/>
  <c r="K227" i="5"/>
  <c r="L227" i="5"/>
  <c r="H228" i="5"/>
  <c r="I228" i="5"/>
  <c r="J228" i="5"/>
  <c r="K228" i="5"/>
  <c r="L228" i="5"/>
  <c r="H230" i="5"/>
  <c r="I230" i="5"/>
  <c r="J230" i="5"/>
  <c r="K230" i="5"/>
  <c r="L230" i="5"/>
  <c r="H238" i="5"/>
  <c r="I238" i="5"/>
  <c r="J238" i="5"/>
  <c r="K238" i="5"/>
  <c r="L238" i="5"/>
  <c r="H239" i="5"/>
  <c r="I239" i="5"/>
  <c r="J239" i="5"/>
  <c r="K239" i="5"/>
  <c r="L239" i="5"/>
  <c r="H241" i="5"/>
  <c r="I241" i="5"/>
  <c r="J241" i="5"/>
  <c r="K241" i="5"/>
  <c r="L241" i="5"/>
  <c r="I244" i="5"/>
  <c r="J244" i="5"/>
  <c r="K244" i="5"/>
  <c r="L244" i="5"/>
  <c r="H245" i="5"/>
  <c r="I245" i="5"/>
  <c r="J245" i="5"/>
  <c r="K245" i="5"/>
  <c r="L245" i="5"/>
  <c r="H246" i="5"/>
  <c r="I246" i="5"/>
  <c r="J246" i="5"/>
  <c r="K246" i="5"/>
  <c r="L246" i="5"/>
  <c r="H247" i="5"/>
  <c r="I247" i="5"/>
  <c r="J247" i="5"/>
  <c r="K247" i="5"/>
  <c r="L247" i="5"/>
  <c r="H249" i="5"/>
  <c r="I249" i="5"/>
  <c r="J249" i="5"/>
  <c r="K249" i="5"/>
  <c r="L249" i="5"/>
  <c r="I266" i="5"/>
  <c r="J266" i="5"/>
  <c r="K266" i="5"/>
  <c r="L266" i="5"/>
  <c r="H267" i="5"/>
  <c r="I267" i="5"/>
  <c r="J267" i="5"/>
  <c r="K267" i="5"/>
  <c r="L267" i="5"/>
  <c r="H268" i="5"/>
  <c r="I268" i="5"/>
  <c r="J268" i="5"/>
  <c r="K268" i="5"/>
  <c r="L268" i="5"/>
  <c r="H269" i="5"/>
  <c r="I269" i="5"/>
  <c r="J269" i="5"/>
  <c r="K269" i="5"/>
  <c r="L269" i="5"/>
  <c r="I275" i="5"/>
  <c r="J275" i="5"/>
  <c r="K275" i="5"/>
  <c r="L275" i="5"/>
  <c r="H278" i="5"/>
  <c r="I278" i="5"/>
  <c r="J278" i="5"/>
  <c r="K278" i="5"/>
  <c r="L278" i="5"/>
  <c r="H279" i="5"/>
  <c r="I279" i="5"/>
  <c r="J279" i="5"/>
  <c r="K279" i="5"/>
  <c r="L279" i="5"/>
  <c r="H281" i="5"/>
  <c r="I281" i="5"/>
  <c r="J281" i="5"/>
  <c r="K281" i="5"/>
  <c r="L281" i="5"/>
  <c r="H285" i="5"/>
  <c r="I285" i="5"/>
  <c r="J285" i="5"/>
  <c r="K285" i="5"/>
  <c r="L285" i="5"/>
  <c r="H286" i="5"/>
  <c r="I286" i="5"/>
  <c r="J286" i="5"/>
  <c r="K286" i="5"/>
  <c r="L286" i="5"/>
  <c r="H289" i="5"/>
  <c r="I289" i="5"/>
  <c r="J289" i="5"/>
  <c r="K289" i="5"/>
  <c r="L289" i="5"/>
  <c r="H290" i="5"/>
  <c r="I290" i="5"/>
  <c r="J290" i="5"/>
  <c r="K290" i="5"/>
  <c r="L290" i="5"/>
  <c r="H291" i="5"/>
  <c r="I291" i="5"/>
  <c r="J291" i="5"/>
  <c r="K291" i="5"/>
  <c r="L291" i="5"/>
  <c r="H294" i="5"/>
  <c r="I294" i="5"/>
  <c r="J294" i="5"/>
  <c r="K294" i="5"/>
  <c r="L294" i="5"/>
  <c r="H295" i="5"/>
  <c r="I295" i="5"/>
  <c r="J295" i="5"/>
  <c r="K295" i="5"/>
  <c r="L295" i="5"/>
  <c r="H296" i="5"/>
  <c r="I296" i="5"/>
  <c r="J296" i="5"/>
  <c r="K296" i="5"/>
  <c r="L296" i="5"/>
  <c r="H298" i="5"/>
  <c r="I298" i="5"/>
  <c r="J298" i="5"/>
  <c r="K298" i="5"/>
  <c r="L298" i="5"/>
  <c r="H299" i="5"/>
  <c r="I299" i="5"/>
  <c r="J299" i="5"/>
  <c r="K299" i="5"/>
  <c r="L299" i="5"/>
  <c r="H300" i="5"/>
  <c r="I300" i="5"/>
  <c r="J300" i="5"/>
  <c r="K300" i="5"/>
  <c r="L300" i="5"/>
  <c r="H301" i="5"/>
  <c r="I301" i="5"/>
  <c r="J301" i="5"/>
  <c r="K301" i="5"/>
  <c r="L301" i="5"/>
  <c r="H302" i="5"/>
  <c r="I302" i="5"/>
  <c r="J302" i="5"/>
  <c r="K302" i="5"/>
  <c r="L302" i="5"/>
  <c r="J35" i="3"/>
  <c r="D42" i="3"/>
  <c r="J42" i="3"/>
  <c r="D43" i="3"/>
  <c r="J43" i="3"/>
  <c r="C44" i="3"/>
  <c r="D44" i="3"/>
  <c r="J44" i="3"/>
  <c r="D45" i="3"/>
  <c r="H45" i="3"/>
  <c r="I45" i="3"/>
  <c r="J45" i="3"/>
  <c r="C46" i="3"/>
  <c r="D46" i="3"/>
  <c r="I46" i="3"/>
  <c r="J46" i="3"/>
  <c r="I47" i="3"/>
  <c r="J47" i="3"/>
  <c r="D54" i="3"/>
  <c r="E54" i="3"/>
  <c r="L54" i="3"/>
  <c r="D56" i="3"/>
  <c r="D57" i="3"/>
  <c r="E89" i="3"/>
  <c r="G89" i="3"/>
  <c r="E92" i="3"/>
  <c r="G92" i="3"/>
  <c r="G94" i="3"/>
  <c r="E102" i="3"/>
  <c r="G102" i="3"/>
  <c r="E105" i="3"/>
  <c r="G105" i="3"/>
  <c r="G107" i="3"/>
  <c r="E109" i="3"/>
  <c r="G109" i="3"/>
  <c r="E110" i="3"/>
  <c r="G110" i="3"/>
  <c r="G112" i="3"/>
  <c r="G114" i="3"/>
  <c r="H123" i="3"/>
  <c r="I123" i="3"/>
  <c r="J123" i="3"/>
  <c r="K123" i="3"/>
  <c r="L123" i="3"/>
  <c r="H124" i="3"/>
  <c r="I124" i="3"/>
  <c r="J124" i="3"/>
  <c r="K124" i="3"/>
  <c r="L124" i="3"/>
  <c r="H125" i="3"/>
  <c r="I125" i="3"/>
  <c r="J125" i="3"/>
  <c r="K125" i="3"/>
  <c r="L125" i="3"/>
  <c r="G128" i="3"/>
  <c r="H128" i="3"/>
  <c r="I128" i="3"/>
  <c r="J128" i="3"/>
  <c r="K128" i="3"/>
  <c r="L128" i="3"/>
  <c r="G129" i="3"/>
  <c r="H129" i="3"/>
  <c r="I129" i="3"/>
  <c r="J129" i="3"/>
  <c r="K129" i="3"/>
  <c r="L129" i="3"/>
  <c r="G130" i="3"/>
  <c r="H130" i="3"/>
  <c r="I130" i="3"/>
  <c r="J130" i="3"/>
  <c r="K130" i="3"/>
  <c r="L130" i="3"/>
  <c r="H143" i="3"/>
  <c r="I143" i="3"/>
  <c r="J143" i="3"/>
  <c r="K143" i="3"/>
  <c r="L143" i="3"/>
  <c r="H148" i="3"/>
  <c r="I148" i="3"/>
  <c r="J148" i="3"/>
  <c r="K148" i="3"/>
  <c r="L148" i="3"/>
  <c r="H149" i="3"/>
  <c r="I149" i="3"/>
  <c r="J149" i="3"/>
  <c r="K149" i="3"/>
  <c r="L149" i="3"/>
  <c r="G151" i="3"/>
  <c r="G153" i="3"/>
  <c r="H155" i="3"/>
  <c r="I155" i="3"/>
  <c r="J155" i="3"/>
  <c r="K155" i="3"/>
  <c r="L155" i="3"/>
  <c r="G156" i="3"/>
  <c r="H156" i="3"/>
  <c r="I156" i="3"/>
  <c r="J156" i="3"/>
  <c r="K156" i="3"/>
  <c r="L156" i="3"/>
  <c r="H158" i="3"/>
  <c r="I158" i="3"/>
  <c r="J158" i="3"/>
  <c r="K158" i="3"/>
  <c r="L158" i="3"/>
  <c r="H159" i="3"/>
  <c r="I159" i="3"/>
  <c r="J159" i="3"/>
  <c r="K159" i="3"/>
  <c r="L159" i="3"/>
  <c r="H160" i="3"/>
  <c r="I160" i="3"/>
  <c r="J160" i="3"/>
  <c r="K160" i="3"/>
  <c r="L160" i="3"/>
  <c r="H161" i="3"/>
  <c r="I161" i="3"/>
  <c r="J161" i="3"/>
  <c r="K161" i="3"/>
  <c r="L161" i="3"/>
  <c r="H162" i="3"/>
  <c r="I162" i="3"/>
  <c r="J162" i="3"/>
  <c r="K162" i="3"/>
  <c r="L16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Oasis</author>
  </authors>
  <commentList>
    <comment ref="B191" authorId="0" shapeId="0" xr:uid="{A3A33082-E581-4623-9885-EEE729697A2D}">
      <text>
        <r>
          <rPr>
            <sz val="9"/>
            <color indexed="81"/>
            <rFont val="Tahoma"/>
            <family val="2"/>
          </rPr>
          <t>Assumes all maturing debt is refinanced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Oasis</author>
  </authors>
  <commentList>
    <comment ref="B192" authorId="0" shapeId="0" xr:uid="{DEC36138-4492-466F-A2E4-C77E1D5006D7}">
      <text>
        <r>
          <rPr>
            <sz val="9"/>
            <color indexed="81"/>
            <rFont val="Tahoma"/>
            <family val="2"/>
          </rPr>
          <t>Assumes all maturing debt is refinanced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H19" authorId="0" shapeId="0" xr:uid="{E1F3E7B8-BC2A-4D76-89D4-294D064346F0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for circularity reset. Small assumption leeway</t>
        </r>
      </text>
    </comment>
    <comment ref="C25" authorId="0" shapeId="0" xr:uid="{13C81810-8703-4713-A016-3F59175648C0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 illustration</t>
        </r>
      </text>
    </comment>
    <comment ref="J26" authorId="0" shapeId="0" xr:uid="{C4B924FF-9909-4EE8-A8EB-EA8A17A625F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29" authorId="0" shapeId="0" xr:uid="{AF18ECCC-C1D7-4674-8DD6-4AC4E0CF7CB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31" authorId="0" shapeId="0" xr:uid="{CAE8EE9C-CF2C-44DB-BFE7-32E878575419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34" authorId="0" shapeId="0" xr:uid="{F92FC0EE-AC20-4D41-97D1-3C4444235C77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utilizing current quarter calendarization</t>
        </r>
      </text>
    </comment>
    <comment ref="J35" authorId="0" shapeId="0" xr:uid="{91B711A3-ECA5-4C1A-9DB0-298222311B3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utilizing current quarter calendarization</t>
        </r>
      </text>
    </comment>
    <comment ref="C37" authorId="0" shapeId="0" xr:uid="{0A6190B0-090F-4231-856E-16755795E734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39" authorId="0" shapeId="0" xr:uid="{A6C1DA81-AB5D-4E72-B05B-C67FF53427A2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53" authorId="0" shapeId="0" xr:uid="{4FF1B7B8-1064-4076-87AE-5618EFCD7A29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G53" authorId="0" shapeId="0" xr:uid="{854DDF67-C668-4B00-8185-F95143FEDB9D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53" authorId="0" shapeId="0" xr:uid="{22685CD3-4FBF-4BCD-9D49-B65CDC969560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K53" authorId="0" shapeId="0" xr:uid="{84B301D7-1BE4-46A9-824F-6F04830F291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I54" authorId="0" shapeId="0" xr:uid="{40C30F66-7035-4610-B420-02EBCADCD339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F55" authorId="0" shapeId="0" xr:uid="{8483A950-32F4-4628-A79E-F94B755CCBB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average effective interest from nvidia 10k long term debt</t>
        </r>
      </text>
    </comment>
    <comment ref="C64" authorId="0" shapeId="0" xr:uid="{B2244F32-C85F-4B8A-A2CB-1A311DF722E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66" authorId="0" shapeId="0" xr:uid="{9A469147-70B3-4D33-B76C-7D9850445899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72" authorId="0" shapeId="0" xr:uid="{DC6434DD-60FC-4804-92AF-3A739500CCDF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74" authorId="0" shapeId="0" xr:uid="{B3E72F06-4CF8-40F1-98FA-474E473C93BB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B120" authorId="0" shapeId="0" xr:uid="{7654C5CF-DA96-4406-9A5C-CCD4C18AC7E6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forecasted assumption</t>
        </r>
      </text>
    </comment>
    <comment ref="J133" authorId="0" shapeId="0" xr:uid="{ADE3FECD-B926-412F-BBAF-FDA5B697BBA5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134" authorId="0" shapeId="0" xr:uid="{99BF4F95-F522-456B-86A2-37CC1F9004AF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assumption: 50% of revenue synergies that we realize from transaction will drop down to after tax transaction related income or expenses</t>
        </r>
      </text>
    </comment>
    <comment ref="J137" authorId="0" shapeId="0" xr:uid="{D56498E8-10B8-48C5-A151-CC3451309CFA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C25" authorId="0" shapeId="0" xr:uid="{78ED50CB-D729-4BED-B68F-89FB85C76BE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26" authorId="0" shapeId="0" xr:uid="{C6C518B3-83AF-410F-A75C-36979CDA42F8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29" authorId="0" shapeId="0" xr:uid="{FC727FBD-D171-46E7-B658-C8F901718314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31" authorId="0" shapeId="0" xr:uid="{94473CF9-75EB-46E0-8906-154521F8F95A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38" authorId="0" shapeId="0" xr:uid="{949448EE-AA02-4F60-A2F4-03C2BBDB4852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52" authorId="0" shapeId="0" xr:uid="{C505C4F0-5D91-4ED0-A0A8-3AB419D2BF9F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F54" authorId="0" shapeId="0" xr:uid="{2645D590-A42E-4BEE-BC46-1552636041B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average effective interest from nvidia 10k long term debt</t>
        </r>
      </text>
    </comment>
    <comment ref="C63" authorId="0" shapeId="0" xr:uid="{BC313ADB-6813-4CBB-9C8F-152D95EA6ED6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65" authorId="0" shapeId="0" xr:uid="{57A93612-47A7-4011-84E1-53CFBF5F4F11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71" authorId="0" shapeId="0" xr:uid="{1825DD86-2308-494F-891A-9828504D3F87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73" authorId="0" shapeId="0" xr:uid="{FA83490F-C05A-4B3B-BFB6-AB0ECABB31DF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65" authorId="0" shapeId="0" xr:uid="{FE1E8D23-9B45-4B1B-9F1E-078FB4AD0306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66" authorId="0" shapeId="0" xr:uid="{C63CC061-6C8F-4471-9265-E28010E1B150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67" authorId="0" shapeId="0" xr:uid="{9E70B706-0913-4576-81AB-C19D1CAB9899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168" authorId="0" shapeId="0" xr:uid="{906BF528-13E6-4437-BB4F-595950B17088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70" authorId="0" shapeId="0" xr:uid="{D51C7A66-113B-4498-9425-94CC6690B37A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71" authorId="0" shapeId="0" xr:uid="{60CB7F83-8B56-4941-AAE1-8F4B4D1573F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72" authorId="0" shapeId="0" xr:uid="{08D39489-936A-474D-8917-AB403F055BA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238" authorId="0" shapeId="0" xr:uid="{A4DC187A-0D95-4638-9BBF-4786555E7F9B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239" authorId="0" shapeId="0" xr:uid="{D72ED4AC-B1D5-43BC-B084-D85CC589FA17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E245" authorId="0" shapeId="0" xr:uid="{382A57D7-742D-4105-913B-7300D62334A2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B274" authorId="0" shapeId="0" xr:uid="{FFF782AC-7C4F-4E33-BEF7-40765C26427A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forecasted assumption</t>
        </r>
      </text>
    </comment>
    <comment ref="E280" authorId="0" shapeId="0" xr:uid="{C1D1D535-AFEC-442C-8FC0-4A5F3152B13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288" authorId="0" shapeId="0" xr:uid="{ABB5EE04-B262-4A1C-A0FA-ACB8B76DCB2E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D302" authorId="0" shapeId="0" xr:uid="{29734C44-09E2-41C5-B43F-04A6C073267B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average state rate</t>
        </r>
      </text>
    </comment>
    <comment ref="E302" authorId="0" shapeId="0" xr:uid="{C8B16A9C-5E5E-4082-83F9-FE698F4A1D2B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corporate federal rate</t>
        </r>
      </text>
    </comment>
    <comment ref="E309" authorId="0" shapeId="0" xr:uid="{7329C6C9-CC89-4FED-AC0F-5EB14D5645A2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corporate maximum interest deduction rate</t>
        </r>
      </text>
    </comment>
    <comment ref="F324" authorId="0" shapeId="0" xr:uid="{F47E2945-7BC4-47F9-8CC6-CC0C161067F4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329" authorId="0" shapeId="0" xr:uid="{B8FBA04B-13C0-49E4-BCCC-3DBD6F7678A9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340" authorId="0" shapeId="0" xr:uid="{7A541821-3575-42B8-8C33-6367869C3227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cares act. 80% NOL deduction limit</t>
        </r>
      </text>
    </comment>
    <comment ref="H356" authorId="0" shapeId="0" xr:uid="{695989F8-D3D8-4254-BAF5-FC1272465ECE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357" authorId="0" shapeId="0" xr:uid="{C553A791-3409-4958-A95D-EA105DCA3E5D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G360" authorId="0" shapeId="0" xr:uid="{9B6F236C-99C8-4DC4-9F3D-CF0261E871D5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364" authorId="0" shapeId="0" xr:uid="{8CB31B39-2CC7-4EFE-94E3-BB38F6404C8D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 from three statement model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C8" authorId="0" shapeId="0" xr:uid="{337B2BC8-34E6-4FE5-9D20-97BE9AF75218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Calendarization based on Model coming after 2nd Quarter Financial Results from AMD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C16" authorId="0" shapeId="0" xr:uid="{CF12E03A-5C71-46AA-B2FF-870AB159CD3E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7" authorId="0" shapeId="0" xr:uid="{FC20C99A-70A0-4B5F-8AB6-CA22A429191D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C19" authorId="0" shapeId="0" xr:uid="{D33E4E96-302D-4611-9C4F-81FBAEAC1C3D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19" authorId="0" shapeId="0" xr:uid="{662F76D4-1572-4279-9C9E-A630A02BF085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21" authorId="0" shapeId="0" xr:uid="{9A6C65E3-4A80-4444-8CB6-7B24DAC3192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J22" authorId="0" shapeId="0" xr:uid="{F97786B1-FFB1-41C2-9823-8190E65903BA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G34" authorId="0" shapeId="0" xr:uid="{8B0DF1C2-DD4B-4511-AF26-53212E9931F4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 for all columns</t>
        </r>
      </text>
    </comment>
    <comment ref="H39" authorId="0" shapeId="0" xr:uid="{08BA304D-6C94-45EF-8263-D5C077E63785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40" authorId="0" shapeId="0" xr:uid="{97373CCA-DBDF-40A1-A981-F7AA2284069E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41" authorId="0" shapeId="0" xr:uid="{51D220B0-E19A-4A56-A3FC-14D0C9B5B8BE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42" authorId="0" shapeId="0" xr:uid="{C63EC64E-6914-48CA-BAB9-8897B57DEE3A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H43" authorId="0" shapeId="0" xr:uid="{0B7433DB-B16B-46A0-A1D4-B5023E32CE97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163" authorId="0" shapeId="0" xr:uid="{E9987550-1876-45C4-8FCD-D328F2B4A9A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168" authorId="0" shapeId="0" xr:uid="{71AA562D-4E91-4EE2-A030-1DAA3D7074B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237" authorId="0" shapeId="0" xr:uid="{5A46E441-5AB0-4E90-ABFA-45730D98A21B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corporate maximum interest deduction rate</t>
        </r>
      </text>
    </comment>
    <comment ref="F252" authorId="0" shapeId="0" xr:uid="{164BF17A-DEAB-45DC-9C86-CEAD6AD51E0F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257" authorId="0" shapeId="0" xr:uid="{7C7E7BED-4F4C-43EF-9C2C-5AAB844BC0D1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base assumption</t>
        </r>
      </text>
    </comment>
    <comment ref="E268" authorId="0" shapeId="0" xr:uid="{71DD9A6C-FC08-4256-AC58-BED7240376DC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cares act. 80% NOL deduction limit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<sst xmlns="http://schemas.openxmlformats.org/spreadsheetml/2006/main" count="1444" uniqueCount="585">
  <si>
    <t>(USD in millions, except per share)</t>
  </si>
  <si>
    <t>Company Name</t>
  </si>
  <si>
    <t>NVIDIA</t>
  </si>
  <si>
    <t>Ticker</t>
  </si>
  <si>
    <t>NVDA</t>
  </si>
  <si>
    <t>Share price as of last close</t>
  </si>
  <si>
    <t>Latest closing share price date</t>
  </si>
  <si>
    <t>Latest fiscal year end date</t>
  </si>
  <si>
    <t>Case</t>
  </si>
  <si>
    <t>Base Case</t>
  </si>
  <si>
    <t>&lt;--Customize Model with Drop-Down</t>
  </si>
  <si>
    <t>Circularity</t>
  </si>
  <si>
    <t>Income Statement</t>
  </si>
  <si>
    <t>Revenue</t>
  </si>
  <si>
    <t>Revenue Growth Rate</t>
  </si>
  <si>
    <t>COGS (excl. D&amp;A)</t>
  </si>
  <si>
    <t>Gross Profit</t>
  </si>
  <si>
    <t>Gross Profit Margin</t>
  </si>
  <si>
    <t>Research and Development</t>
  </si>
  <si>
    <t>Other SG&amp;A</t>
  </si>
  <si>
    <t>Total SG&amp;A (excl. D &amp; A)</t>
  </si>
  <si>
    <t>SG&amp;A Ratio</t>
  </si>
  <si>
    <t>Reported EBITDA</t>
  </si>
  <si>
    <t>EBITDA</t>
  </si>
  <si>
    <t>EBITDA Margin</t>
  </si>
  <si>
    <t>Depreciation</t>
  </si>
  <si>
    <t>Amortization</t>
  </si>
  <si>
    <t>EBIT</t>
  </si>
  <si>
    <t>Unusual Expense</t>
  </si>
  <si>
    <t>Non-Operating Income/Expense</t>
  </si>
  <si>
    <t>Non-Operating Interest Income</t>
  </si>
  <si>
    <t>Interest Expense</t>
  </si>
  <si>
    <t>Pretax Income</t>
  </si>
  <si>
    <t>Income Tax (Benefit)</t>
  </si>
  <si>
    <t>Annual Effective Tax Rate</t>
  </si>
  <si>
    <t>Net Income</t>
  </si>
  <si>
    <t>EPS (Basic)</t>
  </si>
  <si>
    <t>EPS (Diluted)</t>
  </si>
  <si>
    <t>Drivers</t>
  </si>
  <si>
    <t>Revenue Growth</t>
  </si>
  <si>
    <t>Upside Case</t>
  </si>
  <si>
    <t>Downside Case</t>
  </si>
  <si>
    <t>Gross Margin</t>
  </si>
  <si>
    <t>SG&amp;A as % of Revenue</t>
  </si>
  <si>
    <t>Effective Tax Rate</t>
  </si>
  <si>
    <t>Balance Sheet</t>
  </si>
  <si>
    <t>Assets:</t>
  </si>
  <si>
    <t>Cash and Cash Equivalents</t>
  </si>
  <si>
    <t>Marketable Securities</t>
  </si>
  <si>
    <t>Accounts Receivable, net</t>
  </si>
  <si>
    <t>Inventories</t>
  </si>
  <si>
    <t>Prepaid Expenses</t>
  </si>
  <si>
    <t>Total Current Assets</t>
  </si>
  <si>
    <t>PP&amp;E, net</t>
  </si>
  <si>
    <t>Operating Lease Assets</t>
  </si>
  <si>
    <t>Goodwill</t>
  </si>
  <si>
    <t>Intangible Assets, net</t>
  </si>
  <si>
    <t>Deferred Income Tax Assets</t>
  </si>
  <si>
    <t>Other Assets</t>
  </si>
  <si>
    <t>Total Assets</t>
  </si>
  <si>
    <t>Liabilities and Shareholder's Equity:</t>
  </si>
  <si>
    <t>Accounts Payable</t>
  </si>
  <si>
    <t>Accrued and Other Current Liabilities</t>
  </si>
  <si>
    <t>Short-Term Debt</t>
  </si>
  <si>
    <t>Total current liabilities</t>
  </si>
  <si>
    <t>Long-Term Debt</t>
  </si>
  <si>
    <t>Long-Term Operating Lease Liabilities</t>
  </si>
  <si>
    <t>Other Long-Term Liabilities</t>
  </si>
  <si>
    <t>Total liabilities</t>
  </si>
  <si>
    <t>Shareholder's Equity:</t>
  </si>
  <si>
    <t>Preferred Stock</t>
  </si>
  <si>
    <t>Common Stock</t>
  </si>
  <si>
    <t>Additional Paid-in Capital</t>
  </si>
  <si>
    <t>Treasury Stock</t>
  </si>
  <si>
    <t>Accumulated Other Comprehensive Income (loss)</t>
  </si>
  <si>
    <t>Retained Earnings</t>
  </si>
  <si>
    <t>Total shareholders' equity</t>
  </si>
  <si>
    <t>Total liabilities and shareholders' equity</t>
  </si>
  <si>
    <t>Check</t>
  </si>
  <si>
    <t>Working Capital Schedule</t>
  </si>
  <si>
    <t>Working Capital Balances</t>
  </si>
  <si>
    <t>Prepaid Expenses and Other Current Assets</t>
  </si>
  <si>
    <t>Total Non-Cash Current Assets</t>
  </si>
  <si>
    <t>Accrued Liabilities</t>
  </si>
  <si>
    <t>Total Non-Debt Current Liabilities</t>
  </si>
  <si>
    <t>Net Working Capital</t>
  </si>
  <si>
    <t>Change in Net Working Capital</t>
  </si>
  <si>
    <t>Days Sales Outstanding (DSO)</t>
  </si>
  <si>
    <t>Inventory Turns</t>
  </si>
  <si>
    <t>Prepaid exp. as % of Revenue</t>
  </si>
  <si>
    <t>Days Payables Outstanding (DPO)</t>
  </si>
  <si>
    <t>Accrued Liabilities as % of COGS</t>
  </si>
  <si>
    <t>PP&amp;E and Intangible Schedule</t>
  </si>
  <si>
    <t>Beginning PP&amp;E Balance</t>
  </si>
  <si>
    <t>Capex</t>
  </si>
  <si>
    <t>Ending PP&amp;E</t>
  </si>
  <si>
    <t>Beginning Intangible Balance</t>
  </si>
  <si>
    <t>Additions</t>
  </si>
  <si>
    <t>Ending Intangible Balance</t>
  </si>
  <si>
    <t>Capex as % of revenue</t>
  </si>
  <si>
    <t>Depreciation as % of capex</t>
  </si>
  <si>
    <t>Cash Flow Statement</t>
  </si>
  <si>
    <t>(Increase) Decrease to Net Working Capital</t>
  </si>
  <si>
    <t>Cash Flow from Operations</t>
  </si>
  <si>
    <t>Cash Flow From Investing Activities</t>
  </si>
  <si>
    <t>Revolver draw (paydown)</t>
  </si>
  <si>
    <t>Debt issuance</t>
  </si>
  <si>
    <t>Debt paydown</t>
  </si>
  <si>
    <t>Share repurchase</t>
  </si>
  <si>
    <t>Dividends</t>
  </si>
  <si>
    <t>Option proceeds</t>
  </si>
  <si>
    <t>Cash Flow From Financing Activities</t>
  </si>
  <si>
    <t>Beginning Cash</t>
  </si>
  <si>
    <t>Change in Cash</t>
  </si>
  <si>
    <t>Ending Cash</t>
  </si>
  <si>
    <t>Equity Schedule</t>
  </si>
  <si>
    <t>Stockholder's Equity</t>
  </si>
  <si>
    <t>Beginning balance</t>
  </si>
  <si>
    <t>Net income</t>
  </si>
  <si>
    <t>Ending balance</t>
  </si>
  <si>
    <t>Dividend payout ratio</t>
  </si>
  <si>
    <t>Step</t>
  </si>
  <si>
    <t>Average strike price</t>
  </si>
  <si>
    <t>Debt Paydown &amp; Interest Schedule</t>
  </si>
  <si>
    <t>Cash flow available for financing activities</t>
  </si>
  <si>
    <t>Repurchase of equity</t>
  </si>
  <si>
    <t>Option Proceeds</t>
  </si>
  <si>
    <t>Plus: Beginning cash balance</t>
  </si>
  <si>
    <t>Less: Minimum cash balance</t>
  </si>
  <si>
    <t>Cash available for debt paydown</t>
  </si>
  <si>
    <t>Beginning Balance</t>
  </si>
  <si>
    <t>Repayment/Amortization (Operating Lease Payments)</t>
  </si>
  <si>
    <t>Issuance</t>
  </si>
  <si>
    <t>Ending Balance</t>
  </si>
  <si>
    <t>Revolver</t>
  </si>
  <si>
    <t>Cash available for revolver</t>
  </si>
  <si>
    <t>Beginning revolver balance</t>
  </si>
  <si>
    <t>Draw (paydown)</t>
  </si>
  <si>
    <t>Ending revolver balance</t>
  </si>
  <si>
    <t>Interest</t>
  </si>
  <si>
    <t>Revolver interest rate</t>
  </si>
  <si>
    <t>Revolver interest expense</t>
  </si>
  <si>
    <t>Long-term debt interest rate</t>
  </si>
  <si>
    <t>Long-term interest expense</t>
  </si>
  <si>
    <t>Total interest expense</t>
  </si>
  <si>
    <t>Average cash balance</t>
  </si>
  <si>
    <t>Cash interest rate</t>
  </si>
  <si>
    <t>Interest income</t>
  </si>
  <si>
    <t>Net Interest Expense (Income)</t>
  </si>
  <si>
    <t>Shares Outstanding</t>
  </si>
  <si>
    <t>Beginning basic shares outstanding</t>
  </si>
  <si>
    <t>New share issuance</t>
  </si>
  <si>
    <t>Shares issued from options</t>
  </si>
  <si>
    <t>Ending basic shares outstanding</t>
  </si>
  <si>
    <t>Effect of dilutive securities</t>
  </si>
  <si>
    <t>Diluted shares outstanding</t>
  </si>
  <si>
    <t>Share Repurchase</t>
  </si>
  <si>
    <t>Projected P/E Multiple</t>
  </si>
  <si>
    <t>Projected share price</t>
  </si>
  <si>
    <t>Total shares repurchased</t>
  </si>
  <si>
    <t>EPS</t>
  </si>
  <si>
    <t>EPS Basic</t>
  </si>
  <si>
    <t>Revenue By Geography</t>
  </si>
  <si>
    <t>United States</t>
  </si>
  <si>
    <t>Taiwan</t>
  </si>
  <si>
    <t>China (Including Hong Kong)</t>
  </si>
  <si>
    <t>Other Countries</t>
  </si>
  <si>
    <t>Total Revenues</t>
  </si>
  <si>
    <t>Growth Rates</t>
  </si>
  <si>
    <t>Sensitivity Analysis</t>
  </si>
  <si>
    <t>2028 Projected Share Price</t>
  </si>
  <si>
    <t>U.S.
Sales Growth Rate</t>
  </si>
  <si>
    <t>Depreciation Waterfall</t>
  </si>
  <si>
    <t>Average</t>
  </si>
  <si>
    <t>Useful Life</t>
  </si>
  <si>
    <t>Depreciation of Existing PP&amp;E</t>
  </si>
  <si>
    <t>Depreciation of New Capex</t>
  </si>
  <si>
    <t>Total Depreciation of New Capex</t>
  </si>
  <si>
    <t>Total Depreciation</t>
  </si>
  <si>
    <t>AMD</t>
  </si>
  <si>
    <t>Income Tax</t>
  </si>
  <si>
    <t>Prepaid Expenses &amp; Other Current Assets</t>
  </si>
  <si>
    <t>Investment: Equity Method</t>
  </si>
  <si>
    <t>.</t>
  </si>
  <si>
    <t>Tax Structure Options</t>
  </si>
  <si>
    <t>EPS Accounting Options</t>
  </si>
  <si>
    <t>Stock Sale</t>
  </si>
  <si>
    <t>Cash EPS</t>
  </si>
  <si>
    <t>Asset Sale</t>
  </si>
  <si>
    <t>GAAP EPS</t>
  </si>
  <si>
    <t>x</t>
  </si>
  <si>
    <t>Acquirer</t>
  </si>
  <si>
    <t>Acquirer Share Dilution</t>
  </si>
  <si>
    <t>Company name</t>
  </si>
  <si>
    <t>NVIDIA Corp.</t>
  </si>
  <si>
    <t>(Shares in millions)</t>
  </si>
  <si>
    <t>Shares</t>
  </si>
  <si>
    <t>Exercise</t>
  </si>
  <si>
    <t>Net</t>
  </si>
  <si>
    <t>Price</t>
  </si>
  <si>
    <t>Dilution from Stock Options</t>
  </si>
  <si>
    <t>Restricted Stock Units</t>
  </si>
  <si>
    <t>Basic Shares Outstanding</t>
  </si>
  <si>
    <t>Fully Diluted Shares Outstanding</t>
  </si>
  <si>
    <t>Target</t>
  </si>
  <si>
    <t>Target Share Dilution</t>
  </si>
  <si>
    <t>Advanced Micro Devices, Inc.</t>
  </si>
  <si>
    <t>Key Assumptions</t>
  </si>
  <si>
    <t>Purchase Price</t>
  </si>
  <si>
    <t>% Stock</t>
  </si>
  <si>
    <t>% Cash</t>
  </si>
  <si>
    <t>Offer premium</t>
  </si>
  <si>
    <t>Tax Structure</t>
  </si>
  <si>
    <t>&lt;--Customize Model</t>
  </si>
  <si>
    <t>Offer price per share</t>
  </si>
  <si>
    <t>Max Leverage</t>
  </si>
  <si>
    <t>Offer Market Capitalzation</t>
  </si>
  <si>
    <t>(+) Total Debt</t>
  </si>
  <si>
    <t>Minimum Cash Balance</t>
  </si>
  <si>
    <t>(-) Cash</t>
  </si>
  <si>
    <t>Nvidia Current Cash</t>
  </si>
  <si>
    <t>Offer Enterprise Value</t>
  </si>
  <si>
    <t>AMD Current Cash</t>
  </si>
  <si>
    <t>Offer TEV/EBITDA Multiple</t>
  </si>
  <si>
    <t>Nvidia Tax Rate</t>
  </si>
  <si>
    <t>Offer P/E</t>
  </si>
  <si>
    <t>AMD Tax Rate</t>
  </si>
  <si>
    <t>PF Tax Rate</t>
  </si>
  <si>
    <t>Reference NewCo EBITDA</t>
  </si>
  <si>
    <t>Transaction Fees</t>
  </si>
  <si>
    <t>Uses</t>
  </si>
  <si>
    <t>$</t>
  </si>
  <si>
    <t>%</t>
  </si>
  <si>
    <t>Sources</t>
  </si>
  <si>
    <t>X</t>
  </si>
  <si>
    <t>Equity Purchase Price</t>
  </si>
  <si>
    <t>Excess Cash from Acquirer and Target</t>
  </si>
  <si>
    <t>Refinance Target Debt</t>
  </si>
  <si>
    <t>Refinanced Target Debt</t>
  </si>
  <si>
    <t>Financing Fees &amp; OID</t>
  </si>
  <si>
    <t>Total Uses</t>
  </si>
  <si>
    <t>New Equity Issued</t>
  </si>
  <si>
    <t>Total Sources</t>
  </si>
  <si>
    <t>Financing Assumptions</t>
  </si>
  <si>
    <t>Spread /</t>
  </si>
  <si>
    <t>Max</t>
  </si>
  <si>
    <t xml:space="preserve"> X of</t>
  </si>
  <si>
    <t>Coupon /</t>
  </si>
  <si>
    <t>Tranche</t>
  </si>
  <si>
    <t>Facility</t>
  </si>
  <si>
    <t>Dividend</t>
  </si>
  <si>
    <t>Floor</t>
  </si>
  <si>
    <t>PIK Rate</t>
  </si>
  <si>
    <t>OID</t>
  </si>
  <si>
    <t>Tenor</t>
  </si>
  <si>
    <t>Fee %</t>
  </si>
  <si>
    <t>Fee &amp; OID $</t>
  </si>
  <si>
    <t xml:space="preserve">New Term Loan </t>
  </si>
  <si>
    <t>Existing Debt</t>
  </si>
  <si>
    <t>Total Debt</t>
  </si>
  <si>
    <t>Leverage Ratio</t>
  </si>
  <si>
    <t>Write-Ups and Purchase Price Allocation</t>
  </si>
  <si>
    <t>Asset Write-Ups</t>
  </si>
  <si>
    <t>Purchase Price Allocation</t>
  </si>
  <si>
    <t>Tangible Assets</t>
  </si>
  <si>
    <t>Target Assets Book Value</t>
  </si>
  <si>
    <t>Book value of target PP&amp;E</t>
  </si>
  <si>
    <t>(+) PP&amp;E write-up</t>
  </si>
  <si>
    <t>% Write-up</t>
  </si>
  <si>
    <t>(+) Intangible asset write-up</t>
  </si>
  <si>
    <t>Asset write-up</t>
  </si>
  <si>
    <t>(-) Write off of target goodwill</t>
  </si>
  <si>
    <t>Useful life</t>
  </si>
  <si>
    <t>(-) Write off of target deferred tax assets</t>
  </si>
  <si>
    <t>Incremental depreciation expense</t>
  </si>
  <si>
    <t>Fair Market Value of Target Assets</t>
  </si>
  <si>
    <t>Incremental deferred tax liabilities</t>
  </si>
  <si>
    <t>Intangible assets</t>
  </si>
  <si>
    <t>Target Liabilities Book Value</t>
  </si>
  <si>
    <t xml:space="preserve">Book value of target intangible assets </t>
  </si>
  <si>
    <t>(-) Write off of target deferred tax liabilities</t>
  </si>
  <si>
    <t>(+) New deferred tax liabilities created</t>
  </si>
  <si>
    <t>Fair Market Value of Target Liabilities</t>
  </si>
  <si>
    <t>Incremental amortization expense</t>
  </si>
  <si>
    <t>Offer Value</t>
  </si>
  <si>
    <t>Fair Market Value of Target Net Book</t>
  </si>
  <si>
    <t>Goodwill Created in Deal</t>
  </si>
  <si>
    <t>Acquisition Adjustments</t>
  </si>
  <si>
    <t>Increase</t>
  </si>
  <si>
    <t>Decrease</t>
  </si>
  <si>
    <t>2022 PF</t>
  </si>
  <si>
    <t>Cash and equivalents</t>
  </si>
  <si>
    <t>Accounts receivable, net</t>
  </si>
  <si>
    <t>Prepaid expenses and other current assets</t>
  </si>
  <si>
    <t>Current Assets</t>
  </si>
  <si>
    <t>Property, plant, and equipment, net</t>
  </si>
  <si>
    <t>Identifiable intangible assets, net</t>
  </si>
  <si>
    <t>Deferred income taxes and other assets</t>
  </si>
  <si>
    <t>Long-Term Assets</t>
  </si>
  <si>
    <t>Notes payable and other</t>
  </si>
  <si>
    <t>Accounts payable</t>
  </si>
  <si>
    <t>Accrued liabilities</t>
  </si>
  <si>
    <t>Current Liabilities</t>
  </si>
  <si>
    <t>Income taxes payable</t>
  </si>
  <si>
    <t>Def. Financing Fees &amp; OID (Contra-Debt)</t>
  </si>
  <si>
    <t>Deferred income taxes and other liabilities</t>
  </si>
  <si>
    <t>Long-Term Liabilities</t>
  </si>
  <si>
    <t>Total Liabilities</t>
  </si>
  <si>
    <t>Equity</t>
  </si>
  <si>
    <t>Total Stockholder's Equity</t>
  </si>
  <si>
    <t>Total Liabilities + Stockholder's Equity</t>
  </si>
  <si>
    <t>Accretion/Dilution Analysis</t>
  </si>
  <si>
    <t>EPS Accounting</t>
  </si>
  <si>
    <t>3 Month LIBOR</t>
  </si>
  <si>
    <t>Standalone Acquirer</t>
  </si>
  <si>
    <t>Weighted FDSO</t>
  </si>
  <si>
    <t>Standalone Target (Calendarized)</t>
  </si>
  <si>
    <t>Pre-Tax Synergies</t>
  </si>
  <si>
    <t>Revenue Synergies (as % of total revenue)</t>
  </si>
  <si>
    <t>Gross Margin on Revenue Synergies</t>
  </si>
  <si>
    <t>Total Pre-Tax Revenue Synergies</t>
  </si>
  <si>
    <t>Cost Synergies (as % of total SG&amp;A)</t>
  </si>
  <si>
    <t>Total Pre-Tax Cost Synergies</t>
  </si>
  <si>
    <t>Total Pre-Tax Synergies</t>
  </si>
  <si>
    <t>Transaction related expenses/income</t>
  </si>
  <si>
    <t>(-) Interest expense from new debt</t>
  </si>
  <si>
    <t>(-) Interest income on cash forgone</t>
  </si>
  <si>
    <t>Return</t>
  </si>
  <si>
    <t>(-) Additional D&amp;A expense</t>
  </si>
  <si>
    <t>(-) Amortization of financing fees</t>
  </si>
  <si>
    <t>(+) Pre-Tax Revenue and Cost Synergies</t>
  </si>
  <si>
    <t>(+) Taxes on transaction adjustments</t>
  </si>
  <si>
    <t>Total after tax transaction related income/ (expenses)</t>
  </si>
  <si>
    <t>Nike Share Price at Transaction</t>
  </si>
  <si>
    <t>New Shares Issued in Transction</t>
  </si>
  <si>
    <t>Pro Forma Net Income</t>
  </si>
  <si>
    <t>Pro Forma Shares Outstanding</t>
  </si>
  <si>
    <t>Pro forma Cash EPS</t>
  </si>
  <si>
    <t>Acquirer standalone EPS</t>
  </si>
  <si>
    <t>Accretion / (Dilution) per share</t>
  </si>
  <si>
    <t>Accretion / (Dilution) %</t>
  </si>
  <si>
    <t>Additional pretax synergies required to breakeven</t>
  </si>
  <si>
    <t>(USD in millions, except per share) (All years are as of 5/31 FY)</t>
  </si>
  <si>
    <t>Synergy Case</t>
  </si>
  <si>
    <t>Nvidia Standalone Revenue</t>
  </si>
  <si>
    <t>AMD Standalone Revenue (Calendarized)</t>
  </si>
  <si>
    <t>Synergy Revenue</t>
  </si>
  <si>
    <t>Total Revenue</t>
  </si>
  <si>
    <t>Nvidia Standalone COGS</t>
  </si>
  <si>
    <t>AMD Standalone COGS (Calendarized)</t>
  </si>
  <si>
    <t>Synergy COGS</t>
  </si>
  <si>
    <t>Total COGS</t>
  </si>
  <si>
    <t>Nvidia Standalone Gross Proft</t>
  </si>
  <si>
    <t>AMD Standalone Gross Profit (Calendarized)</t>
  </si>
  <si>
    <t>Synergy Gross Profit</t>
  </si>
  <si>
    <t>Total Gross Profit</t>
  </si>
  <si>
    <t>Nvidia Standalone SG&amp;A</t>
  </si>
  <si>
    <t>AMD Standalone SG&amp;A (Calendarized)</t>
  </si>
  <si>
    <t>Cost Synergies</t>
  </si>
  <si>
    <t>Total SG&amp;A</t>
  </si>
  <si>
    <t>Nvidia Standalone EBITDA</t>
  </si>
  <si>
    <t>AMD Standalone EBITDA (Calendarized)</t>
  </si>
  <si>
    <t>EBITDA from Revenue and Cost Synergies</t>
  </si>
  <si>
    <t>Total EBITDA</t>
  </si>
  <si>
    <t>Nvidia Depreciation</t>
  </si>
  <si>
    <t>AMD Depreciation (Calendarized)</t>
  </si>
  <si>
    <t>Depreciation from Tangible Asset Write-up</t>
  </si>
  <si>
    <t>Nvidia Amortization</t>
  </si>
  <si>
    <t>AMD Amortization</t>
  </si>
  <si>
    <t>Amortization from Intangible Asset Write-up</t>
  </si>
  <si>
    <t>Total Amortization</t>
  </si>
  <si>
    <t>Nvidia Standalone EBIT</t>
  </si>
  <si>
    <t>AMD Standalone EBIT (Calendarized)</t>
  </si>
  <si>
    <t>EBIT from Revenue and Cost Synergies</t>
  </si>
  <si>
    <t>Total EBIT</t>
  </si>
  <si>
    <t>Net interest expense</t>
  </si>
  <si>
    <t>Other expense (income)</t>
  </si>
  <si>
    <t>Pre-tax income</t>
  </si>
  <si>
    <t>Taxes</t>
  </si>
  <si>
    <t>Total non-cash current assets</t>
  </si>
  <si>
    <t>Total non-debt current liabilities</t>
  </si>
  <si>
    <t>Net working capital</t>
  </si>
  <si>
    <t>Change in net working capital</t>
  </si>
  <si>
    <t>Days sales outstanding (DSO)</t>
  </si>
  <si>
    <t>Prepaid exp. as % of revenue</t>
  </si>
  <si>
    <t>Days payables outstanding (DPO)</t>
  </si>
  <si>
    <t>Accrued liabilities as % of COGS</t>
  </si>
  <si>
    <t>(+) Depreciation (including Tangible Asset adjustment)</t>
  </si>
  <si>
    <t>(+) Amortization (including Intangible Asset adjustment)</t>
  </si>
  <si>
    <t>(-) Increases in Net Working Capital</t>
  </si>
  <si>
    <t>(+) Amortized Financing Fees &amp; OID</t>
  </si>
  <si>
    <t>Free Cash Flow</t>
  </si>
  <si>
    <t>Mandatory Amortization on Debt</t>
  </si>
  <si>
    <t xml:space="preserve"> </t>
  </si>
  <si>
    <t>(Discretionary Debt Paydown) / Revolver Draw</t>
  </si>
  <si>
    <t>Cash Beginning Balance</t>
  </si>
  <si>
    <t>Cash Ending Balance</t>
  </si>
  <si>
    <t>Debt Schedule</t>
  </si>
  <si>
    <t>Cash Flow After Mandatory Debt Service, Share Repurchase, and Dividends</t>
  </si>
  <si>
    <t>Minimum Cash</t>
  </si>
  <si>
    <t>Free Cash Flow Available for Optional Debt Paydown</t>
  </si>
  <si>
    <t>Revolver:</t>
  </si>
  <si>
    <t>Draw (Paydown)</t>
  </si>
  <si>
    <t>Unused Facility</t>
  </si>
  <si>
    <t>Compliance Check</t>
  </si>
  <si>
    <t>Term Loan:</t>
  </si>
  <si>
    <t>Mandatory Amortization</t>
  </si>
  <si>
    <t>Optional Paydown</t>
  </si>
  <si>
    <t>Existing Debt:</t>
  </si>
  <si>
    <t>Credit Metrics</t>
  </si>
  <si>
    <t>Total Debt / EBITDA</t>
  </si>
  <si>
    <t>Net Debt / EBITDA</t>
  </si>
  <si>
    <t>Net Debt / (EBITDA - Capex)</t>
  </si>
  <si>
    <t>EBITDA / Total Interest</t>
  </si>
  <si>
    <t>EBITDA / Cash Interest</t>
  </si>
  <si>
    <t>Fixed Charge Coverage Ratio</t>
  </si>
  <si>
    <t>Free Cash Flow / Total Debt</t>
  </si>
  <si>
    <t>% Debt Paydown</t>
  </si>
  <si>
    <t>Memo:</t>
  </si>
  <si>
    <t>Net Debt</t>
  </si>
  <si>
    <t>Total Interest Expense</t>
  </si>
  <si>
    <t>Cash Interest Expense</t>
  </si>
  <si>
    <t>Capital Expenditures</t>
  </si>
  <si>
    <t>Cash Taxes</t>
  </si>
  <si>
    <t>Increase in Net Working Capital</t>
  </si>
  <si>
    <t>Interest Schedule</t>
  </si>
  <si>
    <t>Coupon</t>
  </si>
  <si>
    <t>New Term Loan</t>
  </si>
  <si>
    <t>Undrawn Revolver Commitment Fee</t>
  </si>
  <si>
    <t>Total Interest Expense on Debt</t>
  </si>
  <si>
    <t>Financing Fees &amp; OID:</t>
  </si>
  <si>
    <t xml:space="preserve">Term Loan </t>
  </si>
  <si>
    <t>Total Financing Fees &amp; OID Amortization</t>
  </si>
  <si>
    <t>Interest Income on Cash</t>
  </si>
  <si>
    <t>Tax Schedule</t>
  </si>
  <si>
    <t>Interest Deduction Limit Adjustment</t>
  </si>
  <si>
    <t>Accelerated Depreciation of Capex</t>
  </si>
  <si>
    <t>Foregone Depreciation Adjustment</t>
  </si>
  <si>
    <t>Taxable Income before NOLs</t>
  </si>
  <si>
    <t>Use of NOLs</t>
  </si>
  <si>
    <t>Taxable Income</t>
  </si>
  <si>
    <t>State Rate</t>
  </si>
  <si>
    <t>Federal Rate</t>
  </si>
  <si>
    <t>Total</t>
  </si>
  <si>
    <t>Interest Deduction Limit:</t>
  </si>
  <si>
    <t>Phase-Out</t>
  </si>
  <si>
    <t>Memo: Metric (EBITDA vs. EBIT)</t>
  </si>
  <si>
    <t>Metric</t>
  </si>
  <si>
    <t>Maximum Interest Deduction</t>
  </si>
  <si>
    <t>Net Interest Expense</t>
  </si>
  <si>
    <t>Interest Deduction Limit</t>
  </si>
  <si>
    <t>Disallowed Interest</t>
  </si>
  <si>
    <t>Disallowed Interest Carryforward:</t>
  </si>
  <si>
    <t>Use of Deduction Credits</t>
  </si>
  <si>
    <t>Capex Accelerated Depreciation Adjustment:</t>
  </si>
  <si>
    <t>% Allowed</t>
  </si>
  <si>
    <t>Phase Out:</t>
  </si>
  <si>
    <t>Total Capex</t>
  </si>
  <si>
    <t>Annual Depreciation Spend Foregone:</t>
  </si>
  <si>
    <t>Useful Life:</t>
  </si>
  <si>
    <t>(-) Initial Year</t>
  </si>
  <si>
    <t>NOLs:</t>
  </si>
  <si>
    <t>Cap:</t>
  </si>
  <si>
    <t>Shares Outstanding and Accretion/Dilution Analysis</t>
  </si>
  <si>
    <t>New Shares Issued In Transactions</t>
  </si>
  <si>
    <t>Nvidia Share Price at Transaction</t>
  </si>
  <si>
    <t>Nvidia Standalone FDSO at Transction</t>
  </si>
  <si>
    <t>Nvidia FDSO Post-Transaction</t>
  </si>
  <si>
    <t>(+) Effect of dilutive securities</t>
  </si>
  <si>
    <t>Pro-Forma EPS</t>
  </si>
  <si>
    <t>Sensitivity Analyses</t>
  </si>
  <si>
    <t>Impact of Premium Paid and % of Stock Consideration on 2025E Accretion/(Dilution)</t>
  </si>
  <si>
    <t>Implied Entry Multiple (TEV/EBITDA)</t>
  </si>
  <si>
    <t>Implied Offer Price per Share</t>
  </si>
  <si>
    <t>Premium to Current Share Price</t>
  </si>
  <si>
    <t>% of Purchase Consider-ation in Stock</t>
  </si>
  <si>
    <t>Impact of Premium Paid and % of Stock Consideration on Entry Leverage</t>
  </si>
  <si>
    <t>Impact of Premium Paid and Revenue Synergies (as % of Total Revenue) on 2025E Accretion/(Dilution)</t>
  </si>
  <si>
    <t>Revenue Synergies as a % of Total Revenue</t>
  </si>
  <si>
    <t>Impact of Premium Paid and Cost Synergies (as % of Total SG&amp;A) on 2025E Accretion/(Dilution)</t>
  </si>
  <si>
    <t>Cost Synergies as a % of Total SG&amp;A</t>
  </si>
  <si>
    <t>Impact of Premium Paid and Pro-Forma Tax Rate on 2025E Accretion/(Dilution)</t>
  </si>
  <si>
    <t>Pro-Forma Tax Rate</t>
  </si>
  <si>
    <t>Impact of Premium Paid and % of Stock Consideration on 2024E Accretion/(Dilution)</t>
  </si>
  <si>
    <t>Impact of Premium Paid and % of Stock Consideration on 2023E Accretion/(Dilution)</t>
  </si>
  <si>
    <t>Contribution Analysis</t>
  </si>
  <si>
    <t>*contribution analysis excludes synergies and deal related adjustments</t>
  </si>
  <si>
    <t>Nvidia latest fiscal year end date</t>
  </si>
  <si>
    <t>AMD latest fiscal year end date</t>
  </si>
  <si>
    <t>Calendarization factor</t>
  </si>
  <si>
    <t>Nvidia Standalone Net Income</t>
  </si>
  <si>
    <t>AMD Standalone Net Income (Calendarized)</t>
  </si>
  <si>
    <t>Nvidia</t>
  </si>
  <si>
    <t>Proforma</t>
  </si>
  <si>
    <t>Proforma (%)</t>
  </si>
  <si>
    <t>Operating Metrics</t>
  </si>
  <si>
    <t>Revenue FY + 1</t>
  </si>
  <si>
    <t>Revenue FY + 2</t>
  </si>
  <si>
    <t>Revenue FY + 3</t>
  </si>
  <si>
    <t>EBITDA FY + 1</t>
  </si>
  <si>
    <t>EBITDA FY + 2</t>
  </si>
  <si>
    <t>EBITDA FY + 3</t>
  </si>
  <si>
    <t>EBIT FY + 1</t>
  </si>
  <si>
    <t>EBIT FY + 2</t>
  </si>
  <si>
    <t>EBIT FY + 3</t>
  </si>
  <si>
    <t>Net Income FY + 1</t>
  </si>
  <si>
    <t>Net Income FY + 2</t>
  </si>
  <si>
    <t>Net Income FY + 3</t>
  </si>
  <si>
    <t>Valuation Metrics</t>
  </si>
  <si>
    <t>Share Price (as of last close)</t>
  </si>
  <si>
    <t>Equity Value</t>
  </si>
  <si>
    <t>Enterprise Value</t>
  </si>
  <si>
    <t>EV/Revenue FY + 1</t>
  </si>
  <si>
    <t>EV/Revenue FY + 2</t>
  </si>
  <si>
    <t>EV/Revenue FY + 3</t>
  </si>
  <si>
    <t>EV/EBITDA FY + 1</t>
  </si>
  <si>
    <t>EV/EBITDA FY + 2</t>
  </si>
  <si>
    <t>EV/EBITDA FY + 3</t>
  </si>
  <si>
    <t>EV/EBIT FY + 1</t>
  </si>
  <si>
    <t>EV/EBIT FY + 2</t>
  </si>
  <si>
    <t>EV/EBIT FY + 3</t>
  </si>
  <si>
    <t>P/E FY + 1</t>
  </si>
  <si>
    <t>P/E FY + 2</t>
  </si>
  <si>
    <t>P/E FY + 3</t>
  </si>
  <si>
    <t>Implied Target Valuation Using Contribution Analysis</t>
  </si>
  <si>
    <t>Contribution based on FY + 1</t>
  </si>
  <si>
    <t>EV/Revenue</t>
  </si>
  <si>
    <t>EV/EBITDA</t>
  </si>
  <si>
    <t>P/E</t>
  </si>
  <si>
    <t>Nvidia Multiple</t>
  </si>
  <si>
    <t>AMD Operating Metric</t>
  </si>
  <si>
    <t>AMD Implied Enterprise Value</t>
  </si>
  <si>
    <t>AMD Net Debt</t>
  </si>
  <si>
    <t>AMD Implied Equity Value</t>
  </si>
  <si>
    <t>Summary Share Price based on FY + 1</t>
  </si>
  <si>
    <t>AMD Fully Diluted Shares Outstanding</t>
  </si>
  <si>
    <t>AMD Implied Share Price</t>
  </si>
  <si>
    <t>Offer Price</t>
  </si>
  <si>
    <t>Offer Price Premium / (Discount)</t>
  </si>
  <si>
    <t>(USD in millions, except per share) (All years are as of 1/29 FY)</t>
  </si>
  <si>
    <t>&lt;--Customize model with Drop-Down</t>
  </si>
  <si>
    <t>Sale Price</t>
  </si>
  <si>
    <t>% proceeds used to repurchase stock</t>
  </si>
  <si>
    <t>Taiwan LTM EBITDA</t>
  </si>
  <si>
    <t>% proceeds held in cash</t>
  </si>
  <si>
    <t>EBITDA Multiple</t>
  </si>
  <si>
    <t>Total Proceeds from Transaction</t>
  </si>
  <si>
    <t>Nvidia Existing Debt</t>
  </si>
  <si>
    <t>Book Value of Taiwan Business</t>
  </si>
  <si>
    <t>Capital Gains Tax Rate</t>
  </si>
  <si>
    <t>Capital Gains Tax on Transaction</t>
  </si>
  <si>
    <t>Nvidia Taiwan Segment P&amp;L</t>
  </si>
  <si>
    <t>For Assumption Illustration</t>
  </si>
  <si>
    <t>2022FY</t>
  </si>
  <si>
    <t>2021FY</t>
  </si>
  <si>
    <t>2020FY</t>
  </si>
  <si>
    <t>COGS</t>
  </si>
  <si>
    <t>Taiwan Revenue</t>
  </si>
  <si>
    <t>Percent of Revenue attributable to Taiwan</t>
  </si>
  <si>
    <t>SG&amp;A</t>
  </si>
  <si>
    <t>Operating Profit</t>
  </si>
  <si>
    <t>Assumed Percent of SG&amp;A attributable to Taiwan</t>
  </si>
  <si>
    <t>Depreciation and Amortization</t>
  </si>
  <si>
    <t>Taiwan SG&amp;A</t>
  </si>
  <si>
    <t>China EBITDA</t>
  </si>
  <si>
    <t>Taiwan Growth Rate</t>
  </si>
  <si>
    <t>Operating Margin</t>
  </si>
  <si>
    <t>Nvidia Revenue</t>
  </si>
  <si>
    <t>China Segment Revenue</t>
  </si>
  <si>
    <t>Nvidia COGS</t>
  </si>
  <si>
    <t>China Segment COGS</t>
  </si>
  <si>
    <t>Nvidia Gross Proft</t>
  </si>
  <si>
    <t>China Segment Gross Profit</t>
  </si>
  <si>
    <t>Nvidia SG&amp;A</t>
  </si>
  <si>
    <t>China Segment SG&amp;A</t>
  </si>
  <si>
    <t>Nvidia EBITDA</t>
  </si>
  <si>
    <t>China Segment EBITDA</t>
  </si>
  <si>
    <t>China Segment Depreciation</t>
  </si>
  <si>
    <t>China Segment Amortization</t>
  </si>
  <si>
    <t>Nvidia EBIT</t>
  </si>
  <si>
    <t>China Segment EBIT</t>
  </si>
  <si>
    <t>(-) Separation Costs</t>
  </si>
  <si>
    <t>(-) Capital Gains Tax</t>
  </si>
  <si>
    <t>Cash from Divesting Units</t>
  </si>
  <si>
    <t>Term Loan (if new debt is needed):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</si>
</sst>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yyyy\A"/>
    <numFmt numFmtId="165" formatCode="#,##0;\(#,##0\)"/>
    <numFmt numFmtId="166" formatCode="#,##0;\(#,##0\);0"/>
    <numFmt numFmtId="167" formatCode="#,##0;#,##0"/>
    <numFmt numFmtId="168" formatCode="0.00%;\(0.00%\)"/>
    <numFmt numFmtId="169" formatCode="#,##0.00%;\(#,##0.00%\)"/>
    <numFmt numFmtId="170" formatCode="#,##0.00%;\(#,###.00\)%"/>
    <numFmt numFmtId="171" formatCode="#,##0;\(#,##0\);\-"/>
    <numFmt numFmtId="172" formatCode="#,##0;\(#,##0\);0.000"/>
    <numFmt numFmtId="173" formatCode="#,##0.0\x"/>
    <numFmt numFmtId="174" formatCode="#,##0.00%;\(#,##0.00%\);\-"/>
    <numFmt numFmtId="175" formatCode="#,##0.0\x;\(#,##0\x\);0\x"/>
    <numFmt numFmtId="176" formatCode="#,##0.0\x;\(#,##0.0\x\);0\x"/>
    <numFmt numFmtId="177" formatCode="&quot;$&quot;#,##0.00"/>
    <numFmt numFmtId="178" formatCode="0.0%"/>
    <numFmt numFmtId="179" formatCode="0.0"/>
    <numFmt numFmtId="180" formatCode="0_);\(0\)"/>
    <numFmt numFmtId="181" formatCode=";;;"/>
    <numFmt numFmtId="182" formatCode="#,##0.0_);\(#,##0.0\)"/>
    <numFmt numFmtId="183" formatCode="m/d/yy;@"/>
    <numFmt numFmtId="184" formatCode="&quot;On&quot;;;&quot;Off&quot;"/>
    <numFmt numFmtId="185" formatCode="#,##0.0%_);\(#,##0.0%\)"/>
    <numFmt numFmtId="186" formatCode="#,##0.0\x_);\(#,##0.0\x\)"/>
    <numFmt numFmtId="187" formatCode="#,##0.00\x_);\(#,##0.00\x\)"/>
    <numFmt numFmtId="188" formatCode="#,##0%_);\(#,##0%\)"/>
    <numFmt numFmtId="189" formatCode="&quot;L + &quot;#_)"/>
    <numFmt numFmtId="190" formatCode="0\ &quot;yrs&quot;"/>
    <numFmt numFmtId="191" formatCode="0.00%_)"/>
    <numFmt numFmtId="192" formatCode="#,##0.000%_);\(#,##0.000%\)"/>
    <numFmt numFmtId="193" formatCode="General\ &quot;years&quot;"/>
    <numFmt numFmtId="194" formatCode="yyyy&quot;A&quot;_)"/>
    <numFmt numFmtId="195" formatCode="yyyy&quot;P&quot;_)"/>
    <numFmt numFmtId="196" formatCode="0&quot;A&quot;_)"/>
    <numFmt numFmtId="197" formatCode="0&quot;P&quot;_)"/>
    <numFmt numFmtId="198" formatCode="#,##0.000_);\(#,##0.000\)"/>
    <numFmt numFmtId="199" formatCode="#,##0_);\(#,##0\);\-_)"/>
    <numFmt numFmtId="200" formatCode="_(#,##0.0%_);\(#,##0.0%\);_(&quot;–&quot;_)_%;_(@_)_%"/>
    <numFmt numFmtId="201" formatCode="0.0%_);\ \(0.0%\)"/>
    <numFmt numFmtId="202" formatCode="0.0&quot;x&quot;_)"/>
    <numFmt numFmtId="203" formatCode="&quot;Overdrawn&quot;;;&quot;Compliant&quot;"/>
    <numFmt numFmtId="204" formatCode="&quot;Yes&quot;;;&quot;No&quot;"/>
    <numFmt numFmtId="205" formatCode="#,##0.00%_);\(#,##0.00%\)"/>
    <numFmt numFmtId="206" formatCode="0_)"/>
    <numFmt numFmtId="207" formatCode="#,##0\x_);\(#,##0\x\)"/>
    <numFmt numFmtId="208" formatCode="#,##0.0\x_);\(#,##0\x\)"/>
    <numFmt numFmtId="209" formatCode="_(&quot;$&quot;#,##0.00_);_(&quot;$&quot;\(#,##0.00\);_(&quot;$&quot;&quot;-&quot;??_);_(@_)"/>
    <numFmt numFmtId="210" formatCode=";;\-\-"/>
    <numFmt numFmtId="211" formatCode="0\A_)"/>
    <numFmt numFmtId="212" formatCode="&quot;$&quot;#,##0"/>
    <numFmt numFmtId="213" formatCode="#,##0.00\x"/>
    <numFmt numFmtId="214" formatCode="0.0%;\(0.0%\)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5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i/>
      <u/>
      <sz val="10"/>
      <color theme="1"/>
      <name val="Arial"/>
      <family val="2"/>
    </font>
    <font>
      <i/>
      <u val="singleAccounting"/>
      <sz val="10"/>
      <color theme="1"/>
      <name val="Arial"/>
      <family val="2"/>
    </font>
    <font>
      <u/>
      <sz val="10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u/>
      <sz val="10"/>
      <color theme="1"/>
      <name val="Arial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189E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643">
    <xf numFmtId="0" fontId="0" fillId="0" borderId="0" xfId="0"/>
    <xf numFmtId="0" fontId="8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0" borderId="0" xfId="0" applyAlignment="1">
      <alignment horizontal="centerContinuous"/>
    </xf>
    <xf numFmtId="0" fontId="9" fillId="0" borderId="0" xfId="3" applyFont="1"/>
    <xf numFmtId="0" fontId="0" fillId="0" borderId="0" xfId="0" applyAlignment="1">
      <alignment horizontal="center"/>
    </xf>
    <xf numFmtId="0" fontId="10" fillId="2" borderId="1" xfId="1" applyFont="1" applyAlignment="1">
      <alignment horizontal="center"/>
    </xf>
    <xf numFmtId="14" fontId="11" fillId="2" borderId="1" xfId="1" applyNumberFormat="1" applyFont="1" applyAlignment="1">
      <alignment horizontal="center"/>
    </xf>
    <xf numFmtId="0" fontId="10" fillId="0" borderId="0" xfId="0" applyFont="1"/>
    <xf numFmtId="0" fontId="12" fillId="5" borderId="0" xfId="0" applyFont="1" applyFill="1" applyAlignment="1">
      <alignment horizontal="centerContinuous"/>
    </xf>
    <xf numFmtId="0" fontId="13" fillId="5" borderId="0" xfId="0" applyFont="1" applyFill="1" applyAlignment="1">
      <alignment horizontal="centerContinuous"/>
    </xf>
    <xf numFmtId="0" fontId="13" fillId="0" borderId="0" xfId="0" applyFont="1" applyAlignment="1">
      <alignment horizontal="centerContinuous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5" fontId="10" fillId="0" borderId="0" xfId="0" applyNumberFormat="1" applyFont="1"/>
    <xf numFmtId="165" fontId="10" fillId="0" borderId="4" xfId="0" applyNumberFormat="1" applyFont="1" applyBorder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 indent="2"/>
    </xf>
    <xf numFmtId="0" fontId="0" fillId="6" borderId="0" xfId="0" applyFill="1"/>
    <xf numFmtId="168" fontId="10" fillId="0" borderId="0" xfId="0" applyNumberFormat="1" applyFont="1"/>
    <xf numFmtId="168" fontId="10" fillId="0" borderId="4" xfId="0" applyNumberFormat="1" applyFont="1" applyBorder="1"/>
    <xf numFmtId="165" fontId="10" fillId="0" borderId="2" xfId="0" applyNumberFormat="1" applyFont="1" applyBorder="1"/>
    <xf numFmtId="165" fontId="10" fillId="0" borderId="3" xfId="0" applyNumberFormat="1" applyFont="1" applyBorder="1"/>
    <xf numFmtId="166" fontId="0" fillId="0" borderId="2" xfId="0" applyNumberFormat="1" applyBorder="1"/>
    <xf numFmtId="0" fontId="6" fillId="0" borderId="0" xfId="0" applyFont="1"/>
    <xf numFmtId="165" fontId="6" fillId="0" borderId="0" xfId="0" applyNumberFormat="1" applyFont="1"/>
    <xf numFmtId="165" fontId="6" fillId="0" borderId="4" xfId="0" applyNumberFormat="1" applyFont="1" applyBorder="1"/>
    <xf numFmtId="166" fontId="6" fillId="0" borderId="0" xfId="0" applyNumberFormat="1" applyFont="1"/>
    <xf numFmtId="169" fontId="0" fillId="0" borderId="0" xfId="0" applyNumberFormat="1"/>
    <xf numFmtId="169" fontId="0" fillId="0" borderId="4" xfId="0" applyNumberFormat="1" applyBorder="1"/>
    <xf numFmtId="0" fontId="0" fillId="0" borderId="4" xfId="0" applyBorder="1"/>
    <xf numFmtId="0" fontId="10" fillId="0" borderId="4" xfId="0" applyFont="1" applyBorder="1"/>
    <xf numFmtId="165" fontId="6" fillId="0" borderId="5" xfId="0" applyNumberFormat="1" applyFont="1" applyBorder="1"/>
    <xf numFmtId="165" fontId="6" fillId="0" borderId="6" xfId="0" applyNumberFormat="1" applyFont="1" applyBorder="1"/>
    <xf numFmtId="166" fontId="6" fillId="0" borderId="5" xfId="0" applyNumberFormat="1" applyFont="1" applyBorder="1"/>
    <xf numFmtId="165" fontId="6" fillId="0" borderId="0" xfId="2" applyNumberFormat="1" applyFont="1" applyFill="1" applyBorder="1"/>
    <xf numFmtId="165" fontId="6" fillId="0" borderId="4" xfId="2" applyNumberFormat="1" applyFont="1" applyFill="1" applyBorder="1"/>
    <xf numFmtId="166" fontId="6" fillId="0" borderId="0" xfId="2" applyNumberFormat="1" applyFont="1" applyFill="1" applyBorder="1"/>
    <xf numFmtId="0" fontId="14" fillId="0" borderId="0" xfId="0" applyFont="1"/>
    <xf numFmtId="165" fontId="0" fillId="0" borderId="0" xfId="0" applyNumberFormat="1"/>
    <xf numFmtId="165" fontId="0" fillId="0" borderId="4" xfId="0" applyNumberFormat="1" applyBorder="1"/>
    <xf numFmtId="165" fontId="6" fillId="0" borderId="7" xfId="0" applyNumberFormat="1" applyFont="1" applyBorder="1"/>
    <xf numFmtId="44" fontId="6" fillId="3" borderId="8" xfId="2" applyNumberFormat="1" applyFont="1" applyBorder="1"/>
    <xf numFmtId="44" fontId="6" fillId="3" borderId="9" xfId="2" applyNumberFormat="1" applyFont="1" applyBorder="1"/>
    <xf numFmtId="169" fontId="6" fillId="0" borderId="0" xfId="4" applyNumberFormat="1" applyFont="1" applyFill="1" applyBorder="1"/>
    <xf numFmtId="0" fontId="0" fillId="6" borderId="4" xfId="0" applyFill="1" applyBorder="1"/>
    <xf numFmtId="170" fontId="10" fillId="2" borderId="8" xfId="1" applyNumberFormat="1" applyFon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6" borderId="0" xfId="0" applyNumberFormat="1" applyFill="1"/>
    <xf numFmtId="169" fontId="0" fillId="6" borderId="4" xfId="0" applyNumberFormat="1" applyFill="1" applyBorder="1"/>
    <xf numFmtId="170" fontId="10" fillId="2" borderId="9" xfId="1" applyNumberFormat="1" applyFont="1" applyBorder="1" applyAlignment="1">
      <alignment horizontal="center"/>
    </xf>
    <xf numFmtId="169" fontId="10" fillId="0" borderId="0" xfId="0" applyNumberFormat="1" applyFont="1" applyAlignment="1">
      <alignment horizontal="center"/>
    </xf>
    <xf numFmtId="166" fontId="0" fillId="0" borderId="4" xfId="0" applyNumberFormat="1" applyBorder="1"/>
    <xf numFmtId="171" fontId="0" fillId="0" borderId="0" xfId="0" applyNumberFormat="1"/>
    <xf numFmtId="0" fontId="0" fillId="0" borderId="0" xfId="0" applyAlignment="1">
      <alignment horizontal="left" indent="1"/>
    </xf>
    <xf numFmtId="166" fontId="10" fillId="0" borderId="0" xfId="0" applyNumberFormat="1" applyFont="1"/>
    <xf numFmtId="166" fontId="10" fillId="0" borderId="4" xfId="0" applyNumberFormat="1" applyFont="1" applyBorder="1"/>
    <xf numFmtId="166" fontId="6" fillId="0" borderId="6" xfId="0" applyNumberFormat="1" applyFont="1" applyBorder="1"/>
    <xf numFmtId="166" fontId="10" fillId="0" borderId="4" xfId="0" applyNumberFormat="1" applyFont="1" applyBorder="1" applyAlignment="1">
      <alignment vertical="top"/>
    </xf>
    <xf numFmtId="166" fontId="10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166" fontId="16" fillId="0" borderId="5" xfId="0" applyNumberFormat="1" applyFont="1" applyBorder="1" applyAlignment="1">
      <alignment vertical="top"/>
    </xf>
    <xf numFmtId="166" fontId="16" fillId="0" borderId="6" xfId="0" applyNumberFormat="1" applyFont="1" applyBorder="1" applyAlignment="1">
      <alignment vertical="top"/>
    </xf>
    <xf numFmtId="0" fontId="17" fillId="0" borderId="0" xfId="0" applyFont="1" applyAlignment="1">
      <alignment vertical="top"/>
    </xf>
    <xf numFmtId="166" fontId="6" fillId="0" borderId="10" xfId="0" applyNumberFormat="1" applyFont="1" applyBorder="1"/>
    <xf numFmtId="166" fontId="6" fillId="0" borderId="9" xfId="0" applyNumberFormat="1" applyFont="1" applyBorder="1"/>
    <xf numFmtId="171" fontId="6" fillId="0" borderId="10" xfId="0" applyNumberFormat="1" applyFont="1" applyBorder="1"/>
    <xf numFmtId="171" fontId="6" fillId="0" borderId="5" xfId="0" applyNumberFormat="1" applyFont="1" applyBorder="1"/>
    <xf numFmtId="172" fontId="6" fillId="0" borderId="0" xfId="0" applyNumberFormat="1" applyFont="1"/>
    <xf numFmtId="172" fontId="6" fillId="0" borderId="4" xfId="0" applyNumberFormat="1" applyFont="1" applyBorder="1"/>
    <xf numFmtId="171" fontId="7" fillId="5" borderId="0" xfId="0" applyNumberFormat="1" applyFont="1" applyFill="1" applyAlignment="1">
      <alignment horizontal="centerContinuous"/>
    </xf>
    <xf numFmtId="0" fontId="7" fillId="5" borderId="0" xfId="0" applyFont="1" applyFill="1" applyAlignment="1">
      <alignment horizontal="centerContinuous"/>
    </xf>
    <xf numFmtId="0" fontId="15" fillId="0" borderId="0" xfId="0" applyFont="1"/>
    <xf numFmtId="171" fontId="0" fillId="0" borderId="4" xfId="0" applyNumberFormat="1" applyBorder="1"/>
    <xf numFmtId="171" fontId="0" fillId="0" borderId="3" xfId="0" applyNumberFormat="1" applyBorder="1"/>
    <xf numFmtId="171" fontId="0" fillId="0" borderId="5" xfId="0" applyNumberFormat="1" applyBorder="1"/>
    <xf numFmtId="171" fontId="0" fillId="0" borderId="6" xfId="0" applyNumberFormat="1" applyBorder="1"/>
    <xf numFmtId="0" fontId="16" fillId="0" borderId="0" xfId="0" applyFont="1"/>
    <xf numFmtId="0" fontId="0" fillId="6" borderId="5" xfId="0" applyFill="1" applyBorder="1"/>
    <xf numFmtId="171" fontId="6" fillId="0" borderId="6" xfId="0" applyNumberFormat="1" applyFont="1" applyBorder="1"/>
    <xf numFmtId="0" fontId="17" fillId="0" borderId="0" xfId="0" applyFont="1"/>
    <xf numFmtId="1" fontId="0" fillId="0" borderId="0" xfId="0" applyNumberFormat="1"/>
    <xf numFmtId="1" fontId="0" fillId="0" borderId="4" xfId="0" applyNumberFormat="1" applyBorder="1"/>
    <xf numFmtId="173" fontId="0" fillId="0" borderId="0" xfId="0" applyNumberFormat="1"/>
    <xf numFmtId="173" fontId="0" fillId="0" borderId="4" xfId="0" applyNumberFormat="1" applyBorder="1"/>
    <xf numFmtId="173" fontId="10" fillId="0" borderId="0" xfId="0" applyNumberFormat="1" applyFont="1"/>
    <xf numFmtId="10" fontId="0" fillId="0" borderId="0" xfId="0" applyNumberFormat="1"/>
    <xf numFmtId="10" fontId="0" fillId="0" borderId="4" xfId="0" applyNumberFormat="1" applyBorder="1"/>
    <xf numFmtId="10" fontId="10" fillId="0" borderId="0" xfId="0" applyNumberFormat="1" applyFont="1"/>
    <xf numFmtId="171" fontId="0" fillId="6" borderId="0" xfId="0" applyNumberFormat="1" applyFill="1"/>
    <xf numFmtId="171" fontId="0" fillId="6" borderId="5" xfId="0" applyNumberFormat="1" applyFill="1" applyBorder="1"/>
    <xf numFmtId="174" fontId="0" fillId="0" borderId="4" xfId="0" applyNumberFormat="1" applyBorder="1"/>
    <xf numFmtId="174" fontId="10" fillId="0" borderId="0" xfId="0" applyNumberFormat="1" applyFont="1"/>
    <xf numFmtId="174" fontId="0" fillId="0" borderId="0" xfId="0" applyNumberFormat="1"/>
    <xf numFmtId="174" fontId="10" fillId="6" borderId="0" xfId="0" applyNumberFormat="1" applyFont="1" applyFill="1"/>
    <xf numFmtId="174" fontId="0" fillId="6" borderId="0" xfId="0" applyNumberFormat="1" applyFill="1"/>
    <xf numFmtId="171" fontId="0" fillId="6" borderId="6" xfId="0" applyNumberFormat="1" applyFill="1" applyBorder="1"/>
    <xf numFmtId="166" fontId="15" fillId="0" borderId="0" xfId="0" applyNumberFormat="1" applyFont="1" applyAlignment="1">
      <alignment vertical="top"/>
    </xf>
    <xf numFmtId="171" fontId="15" fillId="6" borderId="0" xfId="0" applyNumberFormat="1" applyFont="1" applyFill="1" applyAlignment="1">
      <alignment vertical="top"/>
    </xf>
    <xf numFmtId="171" fontId="15" fillId="6" borderId="4" xfId="0" applyNumberFormat="1" applyFont="1" applyFill="1" applyBorder="1" applyAlignment="1">
      <alignment vertical="top"/>
    </xf>
    <xf numFmtId="171" fontId="0" fillId="6" borderId="4" xfId="0" applyNumberFormat="1" applyFill="1" applyBorder="1"/>
    <xf numFmtId="171" fontId="15" fillId="6" borderId="5" xfId="0" applyNumberFormat="1" applyFont="1" applyFill="1" applyBorder="1" applyAlignment="1">
      <alignment vertical="top"/>
    </xf>
    <xf numFmtId="171" fontId="15" fillId="6" borderId="6" xfId="0" applyNumberFormat="1" applyFont="1" applyFill="1" applyBorder="1" applyAlignment="1">
      <alignment vertical="top"/>
    </xf>
    <xf numFmtId="166" fontId="6" fillId="0" borderId="7" xfId="0" applyNumberFormat="1" applyFont="1" applyBorder="1"/>
    <xf numFmtId="166" fontId="0" fillId="0" borderId="7" xfId="0" applyNumberFormat="1" applyBorder="1"/>
    <xf numFmtId="166" fontId="0" fillId="0" borderId="5" xfId="0" applyNumberFormat="1" applyBorder="1"/>
    <xf numFmtId="171" fontId="10" fillId="6" borderId="0" xfId="0" applyNumberFormat="1" applyFont="1" applyFill="1"/>
    <xf numFmtId="171" fontId="10" fillId="6" borderId="4" xfId="0" applyNumberFormat="1" applyFont="1" applyFill="1" applyBorder="1"/>
    <xf numFmtId="171" fontId="10" fillId="6" borderId="5" xfId="0" applyNumberFormat="1" applyFont="1" applyFill="1" applyBorder="1" applyAlignment="1">
      <alignment vertical="top"/>
    </xf>
    <xf numFmtId="171" fontId="10" fillId="6" borderId="6" xfId="0" applyNumberFormat="1" applyFont="1" applyFill="1" applyBorder="1" applyAlignment="1">
      <alignment vertical="top"/>
    </xf>
    <xf numFmtId="171" fontId="15" fillId="0" borderId="0" xfId="0" applyNumberFormat="1" applyFont="1" applyAlignment="1">
      <alignment vertical="top"/>
    </xf>
    <xf numFmtId="0" fontId="12" fillId="5" borderId="0" xfId="0" applyFont="1" applyFill="1" applyAlignment="1">
      <alignment horizontal="centerContinuous" vertical="top"/>
    </xf>
    <xf numFmtId="171" fontId="15" fillId="5" borderId="0" xfId="0" applyNumberFormat="1" applyFont="1" applyFill="1" applyAlignment="1">
      <alignment horizontal="centerContinuous" vertical="top"/>
    </xf>
    <xf numFmtId="171" fontId="0" fillId="5" borderId="0" xfId="0" applyNumberFormat="1" applyFill="1" applyAlignment="1">
      <alignment horizontal="centerContinuous"/>
    </xf>
    <xf numFmtId="0" fontId="18" fillId="0" borderId="0" xfId="0" applyFont="1"/>
    <xf numFmtId="171" fontId="15" fillId="0" borderId="4" xfId="0" applyNumberFormat="1" applyFont="1" applyBorder="1" applyAlignment="1">
      <alignment vertical="top"/>
    </xf>
    <xf numFmtId="174" fontId="15" fillId="0" borderId="0" xfId="0" applyNumberFormat="1" applyFont="1" applyAlignment="1">
      <alignment vertical="top"/>
    </xf>
    <xf numFmtId="174" fontId="15" fillId="0" borderId="4" xfId="0" applyNumberFormat="1" applyFont="1" applyBorder="1" applyAlignment="1">
      <alignment vertical="top"/>
    </xf>
    <xf numFmtId="171" fontId="10" fillId="0" borderId="0" xfId="0" applyNumberFormat="1" applyFont="1" applyAlignment="1">
      <alignment vertical="top"/>
    </xf>
    <xf numFmtId="171" fontId="10" fillId="0" borderId="4" xfId="0" applyNumberFormat="1" applyFont="1" applyBorder="1" applyAlignment="1">
      <alignment vertical="top"/>
    </xf>
    <xf numFmtId="166" fontId="15" fillId="0" borderId="4" xfId="0" applyNumberFormat="1" applyFont="1" applyBorder="1" applyAlignment="1">
      <alignment vertical="top"/>
    </xf>
    <xf numFmtId="44" fontId="10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left" indent="1"/>
    </xf>
    <xf numFmtId="0" fontId="0" fillId="6" borderId="6" xfId="0" applyFill="1" applyBorder="1"/>
    <xf numFmtId="166" fontId="10" fillId="0" borderId="6" xfId="0" applyNumberFormat="1" applyFont="1" applyBorder="1"/>
    <xf numFmtId="166" fontId="0" fillId="0" borderId="3" xfId="0" applyNumberFormat="1" applyBorder="1"/>
    <xf numFmtId="166" fontId="0" fillId="0" borderId="6" xfId="0" applyNumberFormat="1" applyBorder="1"/>
    <xf numFmtId="0" fontId="19" fillId="0" borderId="0" xfId="0" applyFont="1"/>
    <xf numFmtId="175" fontId="10" fillId="0" borderId="0" xfId="0" applyNumberFormat="1" applyFont="1"/>
    <xf numFmtId="175" fontId="10" fillId="0" borderId="4" xfId="0" applyNumberFormat="1" applyFont="1" applyBorder="1"/>
    <xf numFmtId="176" fontId="10" fillId="0" borderId="0" xfId="0" applyNumberFormat="1" applyFont="1"/>
    <xf numFmtId="176" fontId="0" fillId="0" borderId="0" xfId="0" applyNumberFormat="1"/>
    <xf numFmtId="44" fontId="0" fillId="0" borderId="0" xfId="0" applyNumberFormat="1"/>
    <xf numFmtId="0" fontId="10" fillId="0" borderId="5" xfId="0" applyFont="1" applyBorder="1"/>
    <xf numFmtId="0" fontId="10" fillId="0" borderId="6" xfId="0" applyFont="1" applyBorder="1"/>
    <xf numFmtId="44" fontId="6" fillId="0" borderId="5" xfId="0" applyNumberFormat="1" applyFont="1" applyBorder="1"/>
    <xf numFmtId="44" fontId="6" fillId="0" borderId="6" xfId="0" applyNumberFormat="1" applyFont="1" applyBorder="1"/>
    <xf numFmtId="44" fontId="6" fillId="0" borderId="0" xfId="0" applyNumberFormat="1" applyFont="1"/>
    <xf numFmtId="44" fontId="6" fillId="0" borderId="4" xfId="0" applyNumberFormat="1" applyFont="1" applyBorder="1"/>
    <xf numFmtId="0" fontId="6" fillId="0" borderId="0" xfId="0" applyFont="1" applyAlignment="1">
      <alignment horizontal="centerContinuous"/>
    </xf>
    <xf numFmtId="0" fontId="0" fillId="0" borderId="11" xfId="0" applyBorder="1" applyAlignment="1">
      <alignment horizontal="centerContinuous"/>
    </xf>
    <xf numFmtId="177" fontId="4" fillId="0" borderId="12" xfId="0" applyNumberFormat="1" applyFont="1" applyBorder="1" applyAlignment="1">
      <alignment horizontal="center"/>
    </xf>
    <xf numFmtId="178" fontId="10" fillId="0" borderId="13" xfId="0" applyNumberFormat="1" applyFont="1" applyBorder="1" applyAlignment="1">
      <alignment horizontal="center"/>
    </xf>
    <xf numFmtId="178" fontId="10" fillId="0" borderId="14" xfId="0" applyNumberFormat="1" applyFont="1" applyBorder="1" applyAlignment="1">
      <alignment horizontal="center"/>
    </xf>
    <xf numFmtId="178" fontId="10" fillId="0" borderId="15" xfId="0" applyNumberFormat="1" applyFont="1" applyBorder="1" applyAlignment="1">
      <alignment horizontal="center"/>
    </xf>
    <xf numFmtId="178" fontId="10" fillId="0" borderId="16" xfId="0" applyNumberFormat="1" applyFont="1" applyBorder="1" applyAlignment="1">
      <alignment horizontal="center"/>
    </xf>
    <xf numFmtId="177" fontId="0" fillId="0" borderId="17" xfId="0" applyNumberFormat="1" applyBorder="1" applyAlignment="1">
      <alignment horizontal="right" indent="2"/>
    </xf>
    <xf numFmtId="177" fontId="0" fillId="0" borderId="18" xfId="0" applyNumberFormat="1" applyBorder="1" applyAlignment="1">
      <alignment horizontal="right" indent="2"/>
    </xf>
    <xf numFmtId="177" fontId="0" fillId="0" borderId="19" xfId="0" applyNumberFormat="1" applyBorder="1" applyAlignment="1">
      <alignment horizontal="right" indent="2"/>
    </xf>
    <xf numFmtId="178" fontId="10" fillId="0" borderId="20" xfId="0" applyNumberFormat="1" applyFont="1" applyBorder="1" applyAlignment="1">
      <alignment horizontal="center"/>
    </xf>
    <xf numFmtId="4" fontId="0" fillId="0" borderId="21" xfId="0" applyNumberFormat="1" applyBorder="1" applyAlignment="1">
      <alignment horizontal="right" indent="2"/>
    </xf>
    <xf numFmtId="4" fontId="0" fillId="0" borderId="8" xfId="0" applyNumberFormat="1" applyBorder="1" applyAlignment="1">
      <alignment horizontal="right" indent="2"/>
    </xf>
    <xf numFmtId="4" fontId="0" fillId="0" borderId="22" xfId="0" applyNumberFormat="1" applyBorder="1" applyAlignment="1">
      <alignment horizontal="right" indent="2"/>
    </xf>
    <xf numFmtId="178" fontId="10" fillId="0" borderId="23" xfId="0" applyNumberFormat="1" applyFont="1" applyBorder="1" applyAlignment="1">
      <alignment horizontal="center"/>
    </xf>
    <xf numFmtId="4" fontId="0" fillId="0" borderId="24" xfId="0" applyNumberFormat="1" applyBorder="1" applyAlignment="1">
      <alignment horizontal="right" indent="2"/>
    </xf>
    <xf numFmtId="4" fontId="0" fillId="0" borderId="25" xfId="0" applyNumberFormat="1" applyBorder="1" applyAlignment="1">
      <alignment horizontal="right" indent="2"/>
    </xf>
    <xf numFmtId="4" fontId="0" fillId="0" borderId="26" xfId="0" applyNumberFormat="1" applyBorder="1" applyAlignment="1">
      <alignment horizontal="right" indent="2"/>
    </xf>
    <xf numFmtId="179" fontId="10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left"/>
    </xf>
    <xf numFmtId="165" fontId="10" fillId="0" borderId="5" xfId="0" applyNumberFormat="1" applyFont="1" applyBorder="1"/>
    <xf numFmtId="168" fontId="0" fillId="0" borderId="0" xfId="0" applyNumberFormat="1"/>
    <xf numFmtId="168" fontId="0" fillId="0" borderId="4" xfId="0" applyNumberFormat="1" applyBorder="1"/>
    <xf numFmtId="3" fontId="10" fillId="0" borderId="0" xfId="0" applyNumberFormat="1" applyFont="1"/>
    <xf numFmtId="3" fontId="10" fillId="0" borderId="4" xfId="0" applyNumberFormat="1" applyFont="1" applyBorder="1"/>
    <xf numFmtId="169" fontId="0" fillId="0" borderId="3" xfId="0" applyNumberFormat="1" applyBorder="1"/>
    <xf numFmtId="172" fontId="6" fillId="7" borderId="0" xfId="0" applyNumberFormat="1" applyFont="1" applyFill="1"/>
    <xf numFmtId="172" fontId="6" fillId="7" borderId="4" xfId="0" applyNumberFormat="1" applyFont="1" applyFill="1" applyBorder="1"/>
    <xf numFmtId="1" fontId="10" fillId="0" borderId="0" xfId="0" applyNumberFormat="1" applyFont="1"/>
    <xf numFmtId="166" fontId="10" fillId="0" borderId="5" xfId="0" applyNumberFormat="1" applyFont="1" applyBorder="1"/>
    <xf numFmtId="167" fontId="10" fillId="0" borderId="0" xfId="0" applyNumberFormat="1" applyFont="1"/>
    <xf numFmtId="167" fontId="10" fillId="0" borderId="4" xfId="0" applyNumberFormat="1" applyFont="1" applyBorder="1"/>
    <xf numFmtId="171" fontId="10" fillId="0" borderId="0" xfId="0" applyNumberFormat="1" applyFont="1"/>
    <xf numFmtId="171" fontId="10" fillId="0" borderId="4" xfId="0" applyNumberFormat="1" applyFont="1" applyBorder="1"/>
    <xf numFmtId="0" fontId="7" fillId="0" borderId="0" xfId="0" applyFont="1"/>
    <xf numFmtId="0" fontId="12" fillId="0" borderId="0" xfId="0" applyFont="1" applyAlignment="1">
      <alignment horizontal="centerContinuous"/>
    </xf>
    <xf numFmtId="164" fontId="7" fillId="0" borderId="0" xfId="0" applyNumberFormat="1" applyFont="1"/>
    <xf numFmtId="166" fontId="7" fillId="0" borderId="0" xfId="0" applyNumberFormat="1" applyFont="1"/>
    <xf numFmtId="0" fontId="21" fillId="0" borderId="0" xfId="0" applyFont="1"/>
    <xf numFmtId="166" fontId="21" fillId="0" borderId="0" xfId="0" applyNumberFormat="1" applyFont="1"/>
    <xf numFmtId="0" fontId="22" fillId="0" borderId="0" xfId="0" applyFont="1"/>
    <xf numFmtId="10" fontId="7" fillId="0" borderId="0" xfId="0" applyNumberFormat="1" applyFont="1"/>
    <xf numFmtId="0" fontId="21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177" fontId="7" fillId="0" borderId="0" xfId="0" applyNumberFormat="1" applyFont="1" applyAlignment="1">
      <alignment horizontal="center"/>
    </xf>
    <xf numFmtId="178" fontId="7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right" indent="2"/>
    </xf>
    <xf numFmtId="4" fontId="7" fillId="0" borderId="0" xfId="0" applyNumberFormat="1" applyFont="1" applyAlignment="1">
      <alignment horizontal="right" indent="2"/>
    </xf>
    <xf numFmtId="171" fontId="0" fillId="0" borderId="2" xfId="0" applyNumberFormat="1" applyBorder="1"/>
    <xf numFmtId="180" fontId="10" fillId="0" borderId="4" xfId="0" applyNumberFormat="1" applyFont="1" applyBorder="1"/>
    <xf numFmtId="0" fontId="23" fillId="0" borderId="0" xfId="0" applyFont="1"/>
    <xf numFmtId="0" fontId="24" fillId="8" borderId="0" xfId="0" applyFont="1" applyFill="1"/>
    <xf numFmtId="0" fontId="25" fillId="8" borderId="0" xfId="0" applyFont="1" applyFill="1"/>
    <xf numFmtId="0" fontId="26" fillId="8" borderId="0" xfId="0" applyFont="1" applyFill="1"/>
    <xf numFmtId="0" fontId="27" fillId="0" borderId="0" xfId="0" applyFont="1"/>
    <xf numFmtId="0" fontId="28" fillId="0" borderId="0" xfId="0" applyFont="1"/>
    <xf numFmtId="0" fontId="29" fillId="0" borderId="0" xfId="0" applyFont="1"/>
    <xf numFmtId="181" fontId="23" fillId="0" borderId="0" xfId="0" applyNumberFormat="1" applyFont="1" applyAlignment="1">
      <alignment horizontal="center" vertical="center"/>
    </xf>
    <xf numFmtId="0" fontId="25" fillId="8" borderId="0" xfId="0" applyFont="1" applyFill="1" applyAlignment="1">
      <alignment horizontal="centerContinuous"/>
    </xf>
    <xf numFmtId="0" fontId="30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177" fontId="30" fillId="0" borderId="0" xfId="0" applyNumberFormat="1" applyFont="1" applyAlignment="1">
      <alignment horizontal="right"/>
    </xf>
    <xf numFmtId="182" fontId="30" fillId="0" borderId="0" xfId="0" applyNumberFormat="1" applyFont="1"/>
    <xf numFmtId="7" fontId="30" fillId="0" borderId="0" xfId="0" applyNumberFormat="1" applyFont="1"/>
    <xf numFmtId="182" fontId="31" fillId="0" borderId="0" xfId="0" applyNumberFormat="1" applyFont="1"/>
    <xf numFmtId="183" fontId="30" fillId="0" borderId="0" xfId="0" applyNumberFormat="1" applyFont="1" applyAlignment="1">
      <alignment horizontal="right"/>
    </xf>
    <xf numFmtId="182" fontId="32" fillId="0" borderId="0" xfId="0" applyNumberFormat="1" applyFont="1"/>
    <xf numFmtId="184" fontId="30" fillId="0" borderId="8" xfId="0" applyNumberFormat="1" applyFont="1" applyBorder="1" applyAlignment="1">
      <alignment horizontal="right"/>
    </xf>
    <xf numFmtId="182" fontId="23" fillId="0" borderId="5" xfId="0" applyNumberFormat="1" applyFont="1" applyBorder="1"/>
    <xf numFmtId="182" fontId="23" fillId="0" borderId="0" xfId="0" applyNumberFormat="1" applyFont="1"/>
    <xf numFmtId="185" fontId="30" fillId="0" borderId="0" xfId="0" applyNumberFormat="1" applyFont="1"/>
    <xf numFmtId="7" fontId="31" fillId="0" borderId="0" xfId="0" applyNumberFormat="1" applyFont="1"/>
    <xf numFmtId="185" fontId="31" fillId="0" borderId="0" xfId="0" applyNumberFormat="1" applyFont="1"/>
    <xf numFmtId="9" fontId="30" fillId="0" borderId="2" xfId="0" applyNumberFormat="1" applyFont="1" applyBorder="1"/>
    <xf numFmtId="0" fontId="33" fillId="0" borderId="0" xfId="0" applyFont="1"/>
    <xf numFmtId="7" fontId="34" fillId="0" borderId="0" xfId="0" applyNumberFormat="1" applyFont="1"/>
    <xf numFmtId="186" fontId="31" fillId="0" borderId="0" xfId="0" applyNumberFormat="1" applyFont="1"/>
    <xf numFmtId="182" fontId="31" fillId="0" borderId="2" xfId="0" applyNumberFormat="1" applyFont="1" applyBorder="1"/>
    <xf numFmtId="186" fontId="30" fillId="0" borderId="0" xfId="0" applyNumberFormat="1" applyFont="1"/>
    <xf numFmtId="5" fontId="33" fillId="0" borderId="0" xfId="0" applyNumberFormat="1" applyFont="1"/>
    <xf numFmtId="0" fontId="23" fillId="0" borderId="0" xfId="0" quotePrefix="1" applyFont="1"/>
    <xf numFmtId="37" fontId="32" fillId="0" borderId="0" xfId="0" applyNumberFormat="1" applyFont="1"/>
    <xf numFmtId="5" fontId="30" fillId="0" borderId="0" xfId="0" applyNumberFormat="1" applyFont="1"/>
    <xf numFmtId="5" fontId="32" fillId="0" borderId="0" xfId="0" applyNumberFormat="1" applyFont="1"/>
    <xf numFmtId="5" fontId="33" fillId="0" borderId="5" xfId="0" applyNumberFormat="1" applyFont="1" applyBorder="1"/>
    <xf numFmtId="185" fontId="32" fillId="0" borderId="0" xfId="0" applyNumberFormat="1" applyFont="1"/>
    <xf numFmtId="0" fontId="31" fillId="0" borderId="0" xfId="0" applyFont="1"/>
    <xf numFmtId="0" fontId="25" fillId="8" borderId="0" xfId="0" applyFont="1" applyFill="1" applyAlignment="1">
      <alignment horizontal="left"/>
    </xf>
    <xf numFmtId="0" fontId="35" fillId="8" borderId="0" xfId="0" applyFont="1" applyFill="1" applyAlignment="1">
      <alignment horizontal="center"/>
    </xf>
    <xf numFmtId="0" fontId="35" fillId="8" borderId="0" xfId="0" applyFont="1" applyFill="1" applyAlignment="1">
      <alignment horizontal="centerContinuous"/>
    </xf>
    <xf numFmtId="5" fontId="23" fillId="0" borderId="0" xfId="0" applyNumberFormat="1" applyFont="1"/>
    <xf numFmtId="185" fontId="29" fillId="0" borderId="0" xfId="0" applyNumberFormat="1" applyFont="1"/>
    <xf numFmtId="5" fontId="31" fillId="0" borderId="0" xfId="0" applyNumberFormat="1" applyFont="1"/>
    <xf numFmtId="37" fontId="23" fillId="0" borderId="0" xfId="0" applyNumberFormat="1" applyFont="1"/>
    <xf numFmtId="187" fontId="31" fillId="0" borderId="0" xfId="0" applyNumberFormat="1" applyFont="1"/>
    <xf numFmtId="188" fontId="28" fillId="0" borderId="5" xfId="0" applyNumberFormat="1" applyFont="1" applyBorder="1"/>
    <xf numFmtId="185" fontId="28" fillId="0" borderId="5" xfId="0" applyNumberFormat="1" applyFont="1" applyBorder="1"/>
    <xf numFmtId="0" fontId="25" fillId="0" borderId="0" xfId="0" applyFont="1" applyAlignment="1">
      <alignment horizontal="centerContinuous"/>
    </xf>
    <xf numFmtId="0" fontId="36" fillId="0" borderId="0" xfId="0" applyFont="1" applyAlignment="1">
      <alignment horizontal="right"/>
    </xf>
    <xf numFmtId="0" fontId="36" fillId="0" borderId="0" xfId="0" applyFont="1"/>
    <xf numFmtId="189" fontId="30" fillId="0" borderId="0" xfId="0" applyNumberFormat="1" applyFont="1"/>
    <xf numFmtId="0" fontId="23" fillId="6" borderId="0" xfId="0" applyFont="1" applyFill="1"/>
    <xf numFmtId="190" fontId="30" fillId="0" borderId="0" xfId="0" applyNumberFormat="1" applyFont="1"/>
    <xf numFmtId="10" fontId="30" fillId="0" borderId="0" xfId="0" applyNumberFormat="1" applyFont="1"/>
    <xf numFmtId="191" fontId="30" fillId="0" borderId="0" xfId="0" applyNumberFormat="1" applyFont="1"/>
    <xf numFmtId="187" fontId="30" fillId="0" borderId="0" xfId="0" applyNumberFormat="1" applyFont="1"/>
    <xf numFmtId="192" fontId="30" fillId="9" borderId="0" xfId="0" applyNumberFormat="1" applyFont="1" applyFill="1"/>
    <xf numFmtId="0" fontId="23" fillId="9" borderId="0" xfId="0" applyFont="1" applyFill="1"/>
    <xf numFmtId="182" fontId="30" fillId="9" borderId="0" xfId="0" applyNumberFormat="1" applyFont="1" applyFill="1"/>
    <xf numFmtId="190" fontId="30" fillId="9" borderId="0" xfId="0" applyNumberFormat="1" applyFont="1" applyFill="1"/>
    <xf numFmtId="10" fontId="30" fillId="9" borderId="0" xfId="0" applyNumberFormat="1" applyFont="1" applyFill="1"/>
    <xf numFmtId="186" fontId="37" fillId="0" borderId="0" xfId="0" applyNumberFormat="1" applyFont="1"/>
    <xf numFmtId="0" fontId="38" fillId="0" borderId="0" xfId="0" applyFont="1"/>
    <xf numFmtId="0" fontId="31" fillId="9" borderId="0" xfId="0" applyFont="1" applyFill="1"/>
    <xf numFmtId="192" fontId="31" fillId="9" borderId="0" xfId="0" applyNumberFormat="1" applyFont="1" applyFill="1"/>
    <xf numFmtId="5" fontId="31" fillId="9" borderId="0" xfId="0" applyNumberFormat="1" applyFont="1" applyFill="1"/>
    <xf numFmtId="190" fontId="31" fillId="9" borderId="0" xfId="0" applyNumberFormat="1" applyFont="1" applyFill="1"/>
    <xf numFmtId="10" fontId="31" fillId="9" borderId="0" xfId="0" applyNumberFormat="1" applyFont="1" applyFill="1"/>
    <xf numFmtId="37" fontId="31" fillId="0" borderId="0" xfId="0" applyNumberFormat="1" applyFont="1"/>
    <xf numFmtId="193" fontId="30" fillId="0" borderId="0" xfId="0" applyNumberFormat="1" applyFont="1"/>
    <xf numFmtId="192" fontId="31" fillId="9" borderId="2" xfId="0" applyNumberFormat="1" applyFont="1" applyFill="1" applyBorder="1"/>
    <xf numFmtId="0" fontId="31" fillId="9" borderId="2" xfId="0" applyFont="1" applyFill="1" applyBorder="1"/>
    <xf numFmtId="5" fontId="31" fillId="9" borderId="2" xfId="0" applyNumberFormat="1" applyFont="1" applyFill="1" applyBorder="1"/>
    <xf numFmtId="192" fontId="34" fillId="9" borderId="0" xfId="0" applyNumberFormat="1" applyFont="1" applyFill="1"/>
    <xf numFmtId="5" fontId="34" fillId="9" borderId="0" xfId="0" applyNumberFormat="1" applyFont="1" applyFill="1"/>
    <xf numFmtId="0" fontId="31" fillId="0" borderId="2" xfId="0" applyFont="1" applyBorder="1"/>
    <xf numFmtId="194" fontId="23" fillId="0" borderId="0" xfId="0" applyNumberFormat="1" applyFont="1" applyAlignment="1">
      <alignment horizontal="right"/>
    </xf>
    <xf numFmtId="194" fontId="23" fillId="0" borderId="27" xfId="0" applyNumberFormat="1" applyFont="1" applyBorder="1" applyAlignment="1">
      <alignment horizontal="right"/>
    </xf>
    <xf numFmtId="0" fontId="39" fillId="0" borderId="0" xfId="0" applyFont="1" applyAlignment="1">
      <alignment horizontal="centerContinuous"/>
    </xf>
    <xf numFmtId="0" fontId="29" fillId="0" borderId="27" xfId="0" applyFont="1" applyBorder="1" applyAlignment="1">
      <alignment horizontal="centerContinuous"/>
    </xf>
    <xf numFmtId="0" fontId="23" fillId="0" borderId="28" xfId="0" quotePrefix="1" applyFont="1" applyBorder="1" applyAlignment="1">
      <alignment horizontal="right"/>
    </xf>
    <xf numFmtId="195" fontId="23" fillId="0" borderId="0" xfId="0" applyNumberFormat="1" applyFont="1"/>
    <xf numFmtId="196" fontId="23" fillId="0" borderId="2" xfId="0" applyNumberFormat="1" applyFont="1" applyBorder="1"/>
    <xf numFmtId="196" fontId="23" fillId="0" borderId="29" xfId="0" applyNumberFormat="1" applyFont="1" applyBorder="1"/>
    <xf numFmtId="0" fontId="23" fillId="0" borderId="30" xfId="0" applyFont="1" applyBorder="1" applyAlignment="1">
      <alignment horizontal="right"/>
    </xf>
    <xf numFmtId="0" fontId="23" fillId="0" borderId="29" xfId="0" applyFont="1" applyBorder="1" applyAlignment="1">
      <alignment horizontal="right"/>
    </xf>
    <xf numFmtId="0" fontId="23" fillId="0" borderId="3" xfId="0" quotePrefix="1" applyFont="1" applyBorder="1" applyAlignment="1">
      <alignment horizontal="right"/>
    </xf>
    <xf numFmtId="197" fontId="23" fillId="0" borderId="2" xfId="0" applyNumberFormat="1" applyFont="1" applyBorder="1"/>
    <xf numFmtId="5" fontId="32" fillId="0" borderId="27" xfId="0" applyNumberFormat="1" applyFont="1" applyBorder="1"/>
    <xf numFmtId="5" fontId="23" fillId="0" borderId="27" xfId="0" applyNumberFormat="1" applyFont="1" applyBorder="1"/>
    <xf numFmtId="5" fontId="23" fillId="0" borderId="4" xfId="0" applyNumberFormat="1" applyFont="1" applyBorder="1"/>
    <xf numFmtId="5" fontId="23" fillId="0" borderId="5" xfId="0" applyNumberFormat="1" applyFont="1" applyBorder="1"/>
    <xf numFmtId="37" fontId="32" fillId="0" borderId="27" xfId="0" applyNumberFormat="1" applyFont="1" applyBorder="1"/>
    <xf numFmtId="0" fontId="23" fillId="0" borderId="27" xfId="0" applyFont="1" applyBorder="1"/>
    <xf numFmtId="37" fontId="23" fillId="0" borderId="4" xfId="0" applyNumberFormat="1" applyFont="1" applyBorder="1"/>
    <xf numFmtId="0" fontId="23" fillId="0" borderId="29" xfId="0" applyFont="1" applyBorder="1"/>
    <xf numFmtId="37" fontId="23" fillId="9" borderId="4" xfId="0" applyNumberFormat="1" applyFont="1" applyFill="1" applyBorder="1"/>
    <xf numFmtId="37" fontId="31" fillId="10" borderId="0" xfId="0" applyNumberFormat="1" applyFont="1" applyFill="1"/>
    <xf numFmtId="5" fontId="23" fillId="0" borderId="31" xfId="0" applyNumberFormat="1" applyFont="1" applyBorder="1"/>
    <xf numFmtId="5" fontId="23" fillId="9" borderId="32" xfId="0" applyNumberFormat="1" applyFont="1" applyFill="1" applyBorder="1"/>
    <xf numFmtId="5" fontId="23" fillId="10" borderId="5" xfId="0" applyNumberFormat="1" applyFont="1" applyFill="1" applyBorder="1"/>
    <xf numFmtId="37" fontId="23" fillId="0" borderId="27" xfId="0" applyNumberFormat="1" applyFont="1" applyBorder="1"/>
    <xf numFmtId="0" fontId="23" fillId="0" borderId="4" xfId="0" applyFont="1" applyBorder="1"/>
    <xf numFmtId="5" fontId="23" fillId="0" borderId="29" xfId="0" applyNumberFormat="1" applyFont="1" applyBorder="1"/>
    <xf numFmtId="5" fontId="23" fillId="0" borderId="32" xfId="0" applyNumberFormat="1" applyFont="1" applyBorder="1"/>
    <xf numFmtId="0" fontId="34" fillId="0" borderId="0" xfId="0" applyFont="1"/>
    <xf numFmtId="5" fontId="33" fillId="0" borderId="27" xfId="0" applyNumberFormat="1" applyFont="1" applyBorder="1"/>
    <xf numFmtId="5" fontId="33" fillId="0" borderId="28" xfId="0" applyNumberFormat="1" applyFont="1" applyBorder="1"/>
    <xf numFmtId="37" fontId="30" fillId="0" borderId="0" xfId="0" applyNumberFormat="1" applyFont="1"/>
    <xf numFmtId="37" fontId="30" fillId="0" borderId="27" xfId="0" applyNumberFormat="1" applyFont="1" applyBorder="1"/>
    <xf numFmtId="37" fontId="23" fillId="10" borderId="4" xfId="0" applyNumberFormat="1" applyFont="1" applyFill="1" applyBorder="1"/>
    <xf numFmtId="37" fontId="23" fillId="10" borderId="0" xfId="0" applyNumberFormat="1" applyFont="1" applyFill="1"/>
    <xf numFmtId="37" fontId="32" fillId="10" borderId="0" xfId="0" applyNumberFormat="1" applyFont="1" applyFill="1"/>
    <xf numFmtId="37" fontId="32" fillId="10" borderId="27" xfId="0" applyNumberFormat="1" applyFont="1" applyFill="1" applyBorder="1"/>
    <xf numFmtId="37" fontId="23" fillId="10" borderId="29" xfId="0" applyNumberFormat="1" applyFont="1" applyFill="1" applyBorder="1"/>
    <xf numFmtId="37" fontId="23" fillId="10" borderId="27" xfId="0" applyNumberFormat="1" applyFont="1" applyFill="1" applyBorder="1"/>
    <xf numFmtId="5" fontId="34" fillId="0" borderId="5" xfId="0" applyNumberFormat="1" applyFont="1" applyBorder="1"/>
    <xf numFmtId="5" fontId="34" fillId="0" borderId="31" xfId="0" applyNumberFormat="1" applyFont="1" applyBorder="1"/>
    <xf numFmtId="5" fontId="33" fillId="0" borderId="31" xfId="0" applyNumberFormat="1" applyFont="1" applyBorder="1"/>
    <xf numFmtId="5" fontId="34" fillId="0" borderId="32" xfId="0" applyNumberFormat="1" applyFont="1" applyBorder="1"/>
    <xf numFmtId="198" fontId="23" fillId="0" borderId="0" xfId="0" applyNumberFormat="1" applyFont="1"/>
    <xf numFmtId="196" fontId="23" fillId="0" borderId="3" xfId="0" applyNumberFormat="1" applyFont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37" fontId="32" fillId="0" borderId="4" xfId="0" applyNumberFormat="1" applyFont="1" applyBorder="1"/>
    <xf numFmtId="0" fontId="23" fillId="0" borderId="2" xfId="0" applyFont="1" applyBorder="1"/>
    <xf numFmtId="37" fontId="23" fillId="0" borderId="2" xfId="0" applyNumberFormat="1" applyFont="1" applyBorder="1"/>
    <xf numFmtId="37" fontId="23" fillId="0" borderId="3" xfId="0" applyNumberFormat="1" applyFont="1" applyBorder="1"/>
    <xf numFmtId="5" fontId="33" fillId="0" borderId="4" xfId="0" applyNumberFormat="1" applyFont="1" applyBorder="1"/>
    <xf numFmtId="37" fontId="31" fillId="0" borderId="4" xfId="0" applyNumberFormat="1" applyFont="1" applyBorder="1"/>
    <xf numFmtId="37" fontId="31" fillId="0" borderId="2" xfId="0" applyNumberFormat="1" applyFont="1" applyBorder="1"/>
    <xf numFmtId="37" fontId="31" fillId="0" borderId="3" xfId="0" applyNumberFormat="1" applyFont="1" applyBorder="1"/>
    <xf numFmtId="5" fontId="34" fillId="0" borderId="0" xfId="0" applyNumberFormat="1" applyFont="1"/>
    <xf numFmtId="5" fontId="34" fillId="0" borderId="4" xfId="0" applyNumberFormat="1" applyFont="1" applyBorder="1"/>
    <xf numFmtId="37" fontId="23" fillId="6" borderId="0" xfId="0" applyNumberFormat="1" applyFont="1" applyFill="1"/>
    <xf numFmtId="37" fontId="23" fillId="6" borderId="4" xfId="0" applyNumberFormat="1" applyFont="1" applyFill="1" applyBorder="1"/>
    <xf numFmtId="37" fontId="23" fillId="6" borderId="2" xfId="0" applyNumberFormat="1" applyFont="1" applyFill="1" applyBorder="1"/>
    <xf numFmtId="37" fontId="23" fillId="6" borderId="3" xfId="0" applyNumberFormat="1" applyFont="1" applyFill="1" applyBorder="1"/>
    <xf numFmtId="0" fontId="23" fillId="6" borderId="4" xfId="0" applyFont="1" applyFill="1" applyBorder="1"/>
    <xf numFmtId="37" fontId="30" fillId="6" borderId="0" xfId="0" applyNumberFormat="1" applyFont="1" applyFill="1"/>
    <xf numFmtId="37" fontId="30" fillId="6" borderId="4" xfId="0" applyNumberFormat="1" applyFont="1" applyFill="1" applyBorder="1"/>
    <xf numFmtId="5" fontId="23" fillId="0" borderId="2" xfId="0" applyNumberFormat="1" applyFont="1" applyBorder="1"/>
    <xf numFmtId="37" fontId="33" fillId="6" borderId="0" xfId="0" applyNumberFormat="1" applyFont="1" applyFill="1"/>
    <xf numFmtId="37" fontId="33" fillId="6" borderId="4" xfId="0" applyNumberFormat="1" applyFont="1" applyFill="1" applyBorder="1"/>
    <xf numFmtId="37" fontId="23" fillId="6" borderId="5" xfId="0" applyNumberFormat="1" applyFont="1" applyFill="1" applyBorder="1"/>
    <xf numFmtId="37" fontId="23" fillId="6" borderId="6" xfId="0" applyNumberFormat="1" applyFont="1" applyFill="1" applyBorder="1"/>
    <xf numFmtId="37" fontId="23" fillId="0" borderId="5" xfId="0" applyNumberFormat="1" applyFont="1" applyBorder="1"/>
    <xf numFmtId="37" fontId="33" fillId="6" borderId="5" xfId="0" applyNumberFormat="1" applyFont="1" applyFill="1" applyBorder="1"/>
    <xf numFmtId="37" fontId="33" fillId="6" borderId="6" xfId="0" applyNumberFormat="1" applyFont="1" applyFill="1" applyBorder="1"/>
    <xf numFmtId="0" fontId="40" fillId="0" borderId="0" xfId="0" applyFont="1"/>
    <xf numFmtId="199" fontId="23" fillId="0" borderId="0" xfId="0" applyNumberFormat="1" applyFont="1" applyAlignment="1">
      <alignment horizontal="right"/>
    </xf>
    <xf numFmtId="200" fontId="23" fillId="0" borderId="0" xfId="0" applyNumberFormat="1" applyFont="1"/>
    <xf numFmtId="0" fontId="31" fillId="0" borderId="0" xfId="0" applyFont="1" applyAlignment="1">
      <alignment horizontal="left" indent="2"/>
    </xf>
    <xf numFmtId="199" fontId="23" fillId="9" borderId="0" xfId="0" applyNumberFormat="1" applyFont="1" applyFill="1" applyAlignment="1">
      <alignment horizontal="right"/>
    </xf>
    <xf numFmtId="200" fontId="23" fillId="9" borderId="0" xfId="0" applyNumberFormat="1" applyFont="1" applyFill="1"/>
    <xf numFmtId="200" fontId="23" fillId="9" borderId="4" xfId="0" applyNumberFormat="1" applyFont="1" applyFill="1" applyBorder="1"/>
    <xf numFmtId="201" fontId="31" fillId="0" borderId="0" xfId="0" applyNumberFormat="1" applyFont="1"/>
    <xf numFmtId="201" fontId="30" fillId="0" borderId="0" xfId="0" applyNumberFormat="1" applyFont="1"/>
    <xf numFmtId="200" fontId="23" fillId="0" borderId="4" xfId="0" applyNumberFormat="1" applyFont="1" applyBorder="1"/>
    <xf numFmtId="197" fontId="23" fillId="0" borderId="33" xfId="0" applyNumberFormat="1" applyFont="1" applyBorder="1"/>
    <xf numFmtId="201" fontId="31" fillId="0" borderId="34" xfId="0" applyNumberFormat="1" applyFont="1" applyBorder="1"/>
    <xf numFmtId="37" fontId="23" fillId="9" borderId="0" xfId="0" applyNumberFormat="1" applyFont="1" applyFill="1"/>
    <xf numFmtId="37" fontId="31" fillId="10" borderId="34" xfId="0" applyNumberFormat="1" applyFont="1" applyFill="1" applyBorder="1"/>
    <xf numFmtId="0" fontId="31" fillId="0" borderId="2" xfId="0" applyFont="1" applyBorder="1" applyAlignment="1">
      <alignment horizontal="left" indent="2"/>
    </xf>
    <xf numFmtId="199" fontId="23" fillId="9" borderId="2" xfId="0" applyNumberFormat="1" applyFont="1" applyFill="1" applyBorder="1" applyAlignment="1">
      <alignment horizontal="right"/>
    </xf>
    <xf numFmtId="200" fontId="23" fillId="9" borderId="2" xfId="0" applyNumberFormat="1" applyFont="1" applyFill="1" applyBorder="1"/>
    <xf numFmtId="37" fontId="23" fillId="9" borderId="2" xfId="0" applyNumberFormat="1" applyFont="1" applyFill="1" applyBorder="1"/>
    <xf numFmtId="37" fontId="31" fillId="10" borderId="33" xfId="0" applyNumberFormat="1" applyFont="1" applyFill="1" applyBorder="1"/>
    <xf numFmtId="37" fontId="31" fillId="10" borderId="2" xfId="0" applyNumberFormat="1" applyFont="1" applyFill="1" applyBorder="1"/>
    <xf numFmtId="37" fontId="31" fillId="10" borderId="7" xfId="0" applyNumberFormat="1" applyFont="1" applyFill="1" applyBorder="1"/>
    <xf numFmtId="37" fontId="31" fillId="10" borderId="5" xfId="0" applyNumberFormat="1" applyFont="1" applyFill="1" applyBorder="1"/>
    <xf numFmtId="37" fontId="34" fillId="10" borderId="34" xfId="0" applyNumberFormat="1" applyFont="1" applyFill="1" applyBorder="1"/>
    <xf numFmtId="37" fontId="34" fillId="10" borderId="0" xfId="0" applyNumberFormat="1" applyFont="1" applyFill="1"/>
    <xf numFmtId="201" fontId="31" fillId="10" borderId="34" xfId="0" applyNumberFormat="1" applyFont="1" applyFill="1" applyBorder="1"/>
    <xf numFmtId="201" fontId="31" fillId="10" borderId="0" xfId="0" applyNumberFormat="1" applyFont="1" applyFill="1"/>
    <xf numFmtId="201" fontId="30" fillId="10" borderId="0" xfId="0" applyNumberFormat="1" applyFont="1" applyFill="1"/>
    <xf numFmtId="37" fontId="30" fillId="10" borderId="34" xfId="0" applyNumberFormat="1" applyFont="1" applyFill="1" applyBorder="1"/>
    <xf numFmtId="202" fontId="31" fillId="0" borderId="0" xfId="0" applyNumberFormat="1" applyFont="1"/>
    <xf numFmtId="202" fontId="30" fillId="10" borderId="34" xfId="0" applyNumberFormat="1" applyFont="1" applyFill="1" applyBorder="1"/>
    <xf numFmtId="202" fontId="31" fillId="10" borderId="0" xfId="0" applyNumberFormat="1" applyFont="1" applyFill="1"/>
    <xf numFmtId="201" fontId="30" fillId="10" borderId="34" xfId="0" applyNumberFormat="1" applyFont="1" applyFill="1" applyBorder="1"/>
    <xf numFmtId="196" fontId="23" fillId="0" borderId="0" xfId="0" applyNumberFormat="1" applyFont="1"/>
    <xf numFmtId="199" fontId="23" fillId="6" borderId="5" xfId="0" applyNumberFormat="1" applyFont="1" applyFill="1" applyBorder="1"/>
    <xf numFmtId="199" fontId="23" fillId="6" borderId="6" xfId="0" applyNumberFormat="1" applyFont="1" applyFill="1" applyBorder="1"/>
    <xf numFmtId="5" fontId="31" fillId="0" borderId="5" xfId="0" applyNumberFormat="1" applyFont="1" applyBorder="1"/>
    <xf numFmtId="0" fontId="31" fillId="0" borderId="0" xfId="0" quotePrefix="1" applyFont="1"/>
    <xf numFmtId="199" fontId="23" fillId="6" borderId="0" xfId="0" applyNumberFormat="1" applyFont="1" applyFill="1"/>
    <xf numFmtId="199" fontId="23" fillId="6" borderId="4" xfId="0" applyNumberFormat="1" applyFont="1" applyFill="1" applyBorder="1"/>
    <xf numFmtId="0" fontId="41" fillId="0" borderId="0" xfId="0" applyFont="1"/>
    <xf numFmtId="0" fontId="42" fillId="0" borderId="0" xfId="0" applyFont="1"/>
    <xf numFmtId="0" fontId="43" fillId="0" borderId="0" xfId="0" applyFont="1"/>
    <xf numFmtId="194" fontId="23" fillId="0" borderId="0" xfId="0" applyNumberFormat="1" applyFont="1"/>
    <xf numFmtId="0" fontId="23" fillId="0" borderId="6" xfId="0" applyFont="1" applyBorder="1"/>
    <xf numFmtId="5" fontId="23" fillId="10" borderId="7" xfId="0" applyNumberFormat="1" applyFont="1" applyFill="1" applyBorder="1"/>
    <xf numFmtId="0" fontId="33" fillId="0" borderId="4" xfId="0" applyFont="1" applyBorder="1"/>
    <xf numFmtId="5" fontId="33" fillId="10" borderId="7" xfId="0" applyNumberFormat="1" applyFont="1" applyFill="1" applyBorder="1"/>
    <xf numFmtId="5" fontId="33" fillId="10" borderId="5" xfId="0" applyNumberFormat="1" applyFont="1" applyFill="1" applyBorder="1"/>
    <xf numFmtId="5" fontId="23" fillId="0" borderId="6" xfId="0" applyNumberFormat="1" applyFont="1" applyBorder="1"/>
    <xf numFmtId="5" fontId="23" fillId="10" borderId="8" xfId="0" applyNumberFormat="1" applyFont="1" applyFill="1" applyBorder="1"/>
    <xf numFmtId="203" fontId="23" fillId="10" borderId="0" xfId="0" applyNumberFormat="1" applyFont="1" applyFill="1" applyAlignment="1">
      <alignment horizontal="right"/>
    </xf>
    <xf numFmtId="185" fontId="30" fillId="10" borderId="8" xfId="0" applyNumberFormat="1" applyFont="1" applyFill="1" applyBorder="1"/>
    <xf numFmtId="204" fontId="30" fillId="10" borderId="8" xfId="0" applyNumberFormat="1" applyFont="1" applyFill="1" applyBorder="1"/>
    <xf numFmtId="192" fontId="30" fillId="10" borderId="8" xfId="0" applyNumberFormat="1" applyFont="1" applyFill="1" applyBorder="1"/>
    <xf numFmtId="187" fontId="23" fillId="10" borderId="4" xfId="0" applyNumberFormat="1" applyFont="1" applyFill="1" applyBorder="1"/>
    <xf numFmtId="187" fontId="23" fillId="10" borderId="0" xfId="0" applyNumberFormat="1" applyFont="1" applyFill="1"/>
    <xf numFmtId="186" fontId="23" fillId="10" borderId="0" xfId="0" applyNumberFormat="1" applyFont="1" applyFill="1"/>
    <xf numFmtId="188" fontId="23" fillId="10" borderId="0" xfId="0" applyNumberFormat="1" applyFont="1" applyFill="1" applyAlignment="1">
      <alignment horizontal="right"/>
    </xf>
    <xf numFmtId="188" fontId="23" fillId="10" borderId="4" xfId="0" applyNumberFormat="1" applyFont="1" applyFill="1" applyBorder="1"/>
    <xf numFmtId="188" fontId="23" fillId="10" borderId="0" xfId="0" applyNumberFormat="1" applyFont="1" applyFill="1"/>
    <xf numFmtId="5" fontId="23" fillId="10" borderId="4" xfId="0" applyNumberFormat="1" applyFont="1" applyFill="1" applyBorder="1"/>
    <xf numFmtId="5" fontId="23" fillId="10" borderId="0" xfId="0" applyNumberFormat="1" applyFont="1" applyFill="1"/>
    <xf numFmtId="205" fontId="30" fillId="0" borderId="0" xfId="0" applyNumberFormat="1" applyFont="1"/>
    <xf numFmtId="189" fontId="23" fillId="10" borderId="0" xfId="0" applyNumberFormat="1" applyFont="1" applyFill="1"/>
    <xf numFmtId="185" fontId="23" fillId="10" borderId="0" xfId="0" applyNumberFormat="1" applyFont="1" applyFill="1"/>
    <xf numFmtId="192" fontId="23" fillId="10" borderId="0" xfId="0" applyNumberFormat="1" applyFont="1" applyFill="1"/>
    <xf numFmtId="185" fontId="23" fillId="6" borderId="0" xfId="0" applyNumberFormat="1" applyFont="1" applyFill="1"/>
    <xf numFmtId="192" fontId="30" fillId="10" borderId="0" xfId="0" applyNumberFormat="1" applyFont="1" applyFill="1"/>
    <xf numFmtId="190" fontId="23" fillId="10" borderId="0" xfId="0" applyNumberFormat="1" applyFont="1" applyFill="1"/>
    <xf numFmtId="192" fontId="30" fillId="0" borderId="0" xfId="0" applyNumberFormat="1" applyFont="1"/>
    <xf numFmtId="0" fontId="26" fillId="0" borderId="0" xfId="0" applyFont="1"/>
    <xf numFmtId="0" fontId="42" fillId="0" borderId="0" xfId="0" quotePrefix="1" applyFont="1"/>
    <xf numFmtId="37" fontId="23" fillId="10" borderId="7" xfId="0" applyNumberFormat="1" applyFont="1" applyFill="1" applyBorder="1"/>
    <xf numFmtId="37" fontId="23" fillId="10" borderId="5" xfId="0" applyNumberFormat="1" applyFont="1" applyFill="1" applyBorder="1"/>
    <xf numFmtId="188" fontId="30" fillId="10" borderId="8" xfId="0" applyNumberFormat="1" applyFont="1" applyFill="1" applyBorder="1"/>
    <xf numFmtId="188" fontId="31" fillId="10" borderId="8" xfId="0" applyNumberFormat="1" applyFont="1" applyFill="1" applyBorder="1"/>
    <xf numFmtId="206" fontId="30" fillId="10" borderId="8" xfId="0" applyNumberFormat="1" applyFont="1" applyFill="1" applyBorder="1"/>
    <xf numFmtId="0" fontId="29" fillId="10" borderId="0" xfId="0" applyFont="1" applyFill="1" applyAlignment="1">
      <alignment horizontal="right"/>
    </xf>
    <xf numFmtId="5" fontId="30" fillId="10" borderId="0" xfId="0" applyNumberFormat="1" applyFont="1" applyFill="1"/>
    <xf numFmtId="0" fontId="23" fillId="0" borderId="0" xfId="0" applyFont="1" applyAlignment="1">
      <alignment horizontal="right"/>
    </xf>
    <xf numFmtId="206" fontId="30" fillId="10" borderId="35" xfId="0" applyNumberFormat="1" applyFont="1" applyFill="1" applyBorder="1"/>
    <xf numFmtId="188" fontId="30" fillId="0" borderId="4" xfId="0" applyNumberFormat="1" applyFont="1" applyBorder="1"/>
    <xf numFmtId="204" fontId="30" fillId="10" borderId="8" xfId="0" applyNumberFormat="1" applyFont="1" applyFill="1" applyBorder="1" applyAlignment="1">
      <alignment horizontal="right"/>
    </xf>
    <xf numFmtId="190" fontId="32" fillId="10" borderId="8" xfId="0" applyNumberFormat="1" applyFont="1" applyFill="1" applyBorder="1"/>
    <xf numFmtId="0" fontId="23" fillId="0" borderId="8" xfId="0" applyFont="1" applyBorder="1"/>
    <xf numFmtId="37" fontId="23" fillId="10" borderId="2" xfId="0" applyNumberFormat="1" applyFont="1" applyFill="1" applyBorder="1"/>
    <xf numFmtId="0" fontId="23" fillId="10" borderId="10" xfId="0" applyFont="1" applyFill="1" applyBorder="1"/>
    <xf numFmtId="37" fontId="23" fillId="10" borderId="10" xfId="0" applyNumberFormat="1" applyFont="1" applyFill="1" applyBorder="1"/>
    <xf numFmtId="0" fontId="23" fillId="10" borderId="5" xfId="0" applyFont="1" applyFill="1" applyBorder="1"/>
    <xf numFmtId="7" fontId="23" fillId="0" borderId="0" xfId="0" applyNumberFormat="1" applyFont="1"/>
    <xf numFmtId="37" fontId="30" fillId="10" borderId="0" xfId="0" applyNumberFormat="1" applyFont="1" applyFill="1"/>
    <xf numFmtId="196" fontId="23" fillId="0" borderId="4" xfId="0" applyNumberFormat="1" applyFont="1" applyBorder="1"/>
    <xf numFmtId="197" fontId="23" fillId="0" borderId="0" xfId="0" applyNumberFormat="1" applyFont="1"/>
    <xf numFmtId="37" fontId="31" fillId="9" borderId="4" xfId="0" applyNumberFormat="1" applyFont="1" applyFill="1" applyBorder="1"/>
    <xf numFmtId="37" fontId="31" fillId="9" borderId="0" xfId="0" applyNumberFormat="1" applyFont="1" applyFill="1"/>
    <xf numFmtId="7" fontId="31" fillId="9" borderId="4" xfId="0" applyNumberFormat="1" applyFont="1" applyFill="1" applyBorder="1"/>
    <xf numFmtId="37" fontId="32" fillId="9" borderId="3" xfId="0" applyNumberFormat="1" applyFont="1" applyFill="1" applyBorder="1"/>
    <xf numFmtId="37" fontId="31" fillId="9" borderId="3" xfId="0" applyNumberFormat="1" applyFont="1" applyFill="1" applyBorder="1"/>
    <xf numFmtId="186" fontId="30" fillId="10" borderId="0" xfId="0" applyNumberFormat="1" applyFont="1" applyFill="1"/>
    <xf numFmtId="186" fontId="31" fillId="10" borderId="0" xfId="0" applyNumberFormat="1" applyFont="1" applyFill="1"/>
    <xf numFmtId="7" fontId="31" fillId="10" borderId="2" xfId="0" applyNumberFormat="1" applyFont="1" applyFill="1" applyBorder="1"/>
    <xf numFmtId="5" fontId="23" fillId="9" borderId="0" xfId="0" applyNumberFormat="1" applyFont="1" applyFill="1"/>
    <xf numFmtId="0" fontId="23" fillId="0" borderId="3" xfId="0" applyFont="1" applyBorder="1"/>
    <xf numFmtId="7" fontId="33" fillId="9" borderId="0" xfId="0" applyNumberFormat="1" applyFont="1" applyFill="1"/>
    <xf numFmtId="7" fontId="32" fillId="0" borderId="4" xfId="0" applyNumberFormat="1" applyFont="1" applyBorder="1"/>
    <xf numFmtId="7" fontId="23" fillId="9" borderId="0" xfId="0" applyNumberFormat="1" applyFont="1" applyFill="1"/>
    <xf numFmtId="185" fontId="33" fillId="9" borderId="0" xfId="0" applyNumberFormat="1" applyFont="1" applyFill="1"/>
    <xf numFmtId="182" fontId="23" fillId="9" borderId="0" xfId="0" applyNumberFormat="1" applyFont="1" applyFill="1"/>
    <xf numFmtId="0" fontId="44" fillId="0" borderId="0" xfId="0" applyFont="1"/>
    <xf numFmtId="0" fontId="33" fillId="9" borderId="10" xfId="0" applyFont="1" applyFill="1" applyBorder="1" applyAlignment="1">
      <alignment horizontal="centerContinuous"/>
    </xf>
    <xf numFmtId="0" fontId="23" fillId="9" borderId="10" xfId="0" applyFont="1" applyFill="1" applyBorder="1" applyAlignment="1">
      <alignment horizontal="centerContinuous"/>
    </xf>
    <xf numFmtId="207" fontId="31" fillId="0" borderId="0" xfId="0" applyNumberFormat="1" applyFont="1" applyAlignment="1">
      <alignment horizontal="center"/>
    </xf>
    <xf numFmtId="0" fontId="23" fillId="10" borderId="0" xfId="0" applyFont="1" applyFill="1"/>
    <xf numFmtId="208" fontId="31" fillId="10" borderId="10" xfId="0" applyNumberFormat="1" applyFont="1" applyFill="1" applyBorder="1" applyAlignment="1">
      <alignment horizontal="center"/>
    </xf>
    <xf numFmtId="208" fontId="31" fillId="0" borderId="0" xfId="0" applyNumberFormat="1" applyFont="1" applyAlignment="1">
      <alignment horizontal="center"/>
    </xf>
    <xf numFmtId="0" fontId="33" fillId="10" borderId="10" xfId="0" applyFont="1" applyFill="1" applyBorder="1" applyAlignment="1">
      <alignment horizontal="centerContinuous"/>
    </xf>
    <xf numFmtId="0" fontId="23" fillId="10" borderId="10" xfId="0" applyFont="1" applyFill="1" applyBorder="1" applyAlignment="1">
      <alignment horizontal="centerContinuous"/>
    </xf>
    <xf numFmtId="7" fontId="23" fillId="10" borderId="0" xfId="0" applyNumberFormat="1" applyFont="1" applyFill="1" applyAlignment="1">
      <alignment horizontal="center"/>
    </xf>
    <xf numFmtId="181" fontId="23" fillId="10" borderId="0" xfId="0" applyNumberFormat="1" applyFont="1" applyFill="1"/>
    <xf numFmtId="188" fontId="30" fillId="10" borderId="10" xfId="0" applyNumberFormat="1" applyFont="1" applyFill="1" applyBorder="1" applyAlignment="1">
      <alignment horizontal="center"/>
    </xf>
    <xf numFmtId="188" fontId="23" fillId="10" borderId="10" xfId="0" applyNumberFormat="1" applyFont="1" applyFill="1" applyBorder="1" applyAlignment="1">
      <alignment horizontal="center"/>
    </xf>
    <xf numFmtId="185" fontId="30" fillId="10" borderId="4" xfId="0" applyNumberFormat="1" applyFont="1" applyFill="1" applyBorder="1" applyAlignment="1">
      <alignment horizontal="center"/>
    </xf>
    <xf numFmtId="185" fontId="23" fillId="10" borderId="0" xfId="0" applyNumberFormat="1" applyFont="1" applyFill="1" applyAlignment="1">
      <alignment horizontal="center"/>
    </xf>
    <xf numFmtId="185" fontId="31" fillId="10" borderId="4" xfId="0" applyNumberFormat="1" applyFont="1" applyFill="1" applyBorder="1" applyAlignment="1">
      <alignment horizontal="center"/>
    </xf>
    <xf numFmtId="185" fontId="23" fillId="10" borderId="8" xfId="0" applyNumberFormat="1" applyFont="1" applyFill="1" applyBorder="1" applyAlignment="1">
      <alignment horizontal="center"/>
    </xf>
    <xf numFmtId="0" fontId="33" fillId="0" borderId="10" xfId="0" applyFont="1" applyBorder="1" applyAlignment="1">
      <alignment horizontal="centerContinuous"/>
    </xf>
    <xf numFmtId="0" fontId="23" fillId="0" borderId="10" xfId="0" applyFont="1" applyBorder="1" applyAlignment="1">
      <alignment horizontal="centerContinuous"/>
    </xf>
    <xf numFmtId="208" fontId="31" fillId="0" borderId="10" xfId="0" applyNumberFormat="1" applyFont="1" applyBorder="1" applyAlignment="1">
      <alignment horizontal="center"/>
    </xf>
    <xf numFmtId="7" fontId="23" fillId="0" borderId="0" xfId="0" applyNumberFormat="1" applyFont="1" applyAlignment="1">
      <alignment horizontal="center"/>
    </xf>
    <xf numFmtId="181" fontId="23" fillId="0" borderId="0" xfId="0" applyNumberFormat="1" applyFont="1"/>
    <xf numFmtId="188" fontId="30" fillId="0" borderId="10" xfId="0" applyNumberFormat="1" applyFont="1" applyBorder="1" applyAlignment="1">
      <alignment horizontal="center"/>
    </xf>
    <xf numFmtId="188" fontId="23" fillId="0" borderId="10" xfId="0" applyNumberFormat="1" applyFont="1" applyBorder="1" applyAlignment="1">
      <alignment horizontal="center"/>
    </xf>
    <xf numFmtId="185" fontId="30" fillId="0" borderId="4" xfId="0" applyNumberFormat="1" applyFont="1" applyBorder="1" applyAlignment="1">
      <alignment horizontal="center"/>
    </xf>
    <xf numFmtId="202" fontId="23" fillId="0" borderId="0" xfId="0" applyNumberFormat="1" applyFont="1" applyAlignment="1">
      <alignment horizontal="center"/>
    </xf>
    <xf numFmtId="185" fontId="31" fillId="0" borderId="4" xfId="0" applyNumberFormat="1" applyFont="1" applyBorder="1" applyAlignment="1">
      <alignment horizontal="center"/>
    </xf>
    <xf numFmtId="202" fontId="23" fillId="0" borderId="8" xfId="0" applyNumberFormat="1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185" fontId="23" fillId="0" borderId="0" xfId="0" applyNumberFormat="1" applyFont="1" applyAlignment="1">
      <alignment horizontal="center"/>
    </xf>
    <xf numFmtId="185" fontId="23" fillId="0" borderId="8" xfId="0" applyNumberFormat="1" applyFont="1" applyBorder="1" applyAlignment="1">
      <alignment horizontal="center"/>
    </xf>
    <xf numFmtId="182" fontId="30" fillId="10" borderId="0" xfId="0" applyNumberFormat="1" applyFont="1" applyFill="1"/>
    <xf numFmtId="7" fontId="30" fillId="10" borderId="0" xfId="0" applyNumberFormat="1" applyFont="1" applyFill="1"/>
    <xf numFmtId="182" fontId="23" fillId="10" borderId="0" xfId="0" applyNumberFormat="1" applyFont="1" applyFill="1"/>
    <xf numFmtId="182" fontId="32" fillId="10" borderId="0" xfId="0" applyNumberFormat="1" applyFont="1" applyFill="1"/>
    <xf numFmtId="182" fontId="23" fillId="10" borderId="5" xfId="0" applyNumberFormat="1" applyFont="1" applyFill="1" applyBorder="1"/>
    <xf numFmtId="185" fontId="30" fillId="10" borderId="0" xfId="0" applyNumberFormat="1" applyFont="1" applyFill="1"/>
    <xf numFmtId="7" fontId="31" fillId="10" borderId="0" xfId="0" applyNumberFormat="1" applyFont="1" applyFill="1"/>
    <xf numFmtId="185" fontId="31" fillId="10" borderId="0" xfId="0" applyNumberFormat="1" applyFont="1" applyFill="1"/>
    <xf numFmtId="9" fontId="30" fillId="10" borderId="2" xfId="0" applyNumberFormat="1" applyFont="1" applyFill="1" applyBorder="1"/>
    <xf numFmtId="7" fontId="34" fillId="10" borderId="0" xfId="0" applyNumberFormat="1" applyFont="1" applyFill="1"/>
    <xf numFmtId="182" fontId="31" fillId="10" borderId="2" xfId="0" applyNumberFormat="1" applyFont="1" applyFill="1" applyBorder="1"/>
    <xf numFmtId="5" fontId="33" fillId="10" borderId="0" xfId="0" applyNumberFormat="1" applyFont="1" applyFill="1"/>
    <xf numFmtId="5" fontId="32" fillId="10" borderId="0" xfId="0" applyNumberFormat="1" applyFont="1" applyFill="1"/>
    <xf numFmtId="185" fontId="29" fillId="10" borderId="0" xfId="0" applyNumberFormat="1" applyFont="1" applyFill="1"/>
    <xf numFmtId="5" fontId="31" fillId="10" borderId="0" xfId="0" applyNumberFormat="1" applyFont="1" applyFill="1"/>
    <xf numFmtId="187" fontId="31" fillId="10" borderId="0" xfId="0" applyNumberFormat="1" applyFont="1" applyFill="1"/>
    <xf numFmtId="188" fontId="28" fillId="10" borderId="5" xfId="0" applyNumberFormat="1" applyFont="1" applyFill="1" applyBorder="1"/>
    <xf numFmtId="185" fontId="28" fillId="10" borderId="5" xfId="0" applyNumberFormat="1" applyFont="1" applyFill="1" applyBorder="1"/>
    <xf numFmtId="187" fontId="31" fillId="9" borderId="0" xfId="0" applyNumberFormat="1" applyFont="1" applyFill="1"/>
    <xf numFmtId="189" fontId="30" fillId="10" borderId="0" xfId="0" applyNumberFormat="1" applyFont="1" applyFill="1"/>
    <xf numFmtId="190" fontId="30" fillId="10" borderId="0" xfId="0" applyNumberFormat="1" applyFont="1" applyFill="1"/>
    <xf numFmtId="10" fontId="30" fillId="10" borderId="0" xfId="0" applyNumberFormat="1" applyFont="1" applyFill="1"/>
    <xf numFmtId="191" fontId="30" fillId="10" borderId="0" xfId="0" applyNumberFormat="1" applyFont="1" applyFill="1"/>
    <xf numFmtId="193" fontId="30" fillId="10" borderId="0" xfId="0" applyNumberFormat="1" applyFont="1" applyFill="1"/>
    <xf numFmtId="5" fontId="31" fillId="10" borderId="2" xfId="0" applyNumberFormat="1" applyFont="1" applyFill="1" applyBorder="1"/>
    <xf numFmtId="5" fontId="34" fillId="10" borderId="0" xfId="0" applyNumberFormat="1" applyFont="1" applyFill="1"/>
    <xf numFmtId="0" fontId="23" fillId="0" borderId="37" xfId="0" quotePrefix="1" applyFont="1" applyBorder="1" applyAlignment="1">
      <alignment horizontal="right"/>
    </xf>
    <xf numFmtId="0" fontId="23" fillId="0" borderId="2" xfId="0" quotePrefix="1" applyFont="1" applyBorder="1" applyAlignment="1">
      <alignment horizontal="right"/>
    </xf>
    <xf numFmtId="5" fontId="23" fillId="10" borderId="27" xfId="0" applyNumberFormat="1" applyFont="1" applyFill="1" applyBorder="1"/>
    <xf numFmtId="5" fontId="23" fillId="10" borderId="31" xfId="0" applyNumberFormat="1" applyFont="1" applyFill="1" applyBorder="1"/>
    <xf numFmtId="5" fontId="23" fillId="0" borderId="38" xfId="0" applyNumberFormat="1" applyFont="1" applyBorder="1"/>
    <xf numFmtId="5" fontId="33" fillId="0" borderId="37" xfId="0" applyNumberFormat="1" applyFont="1" applyBorder="1"/>
    <xf numFmtId="5" fontId="23" fillId="10" borderId="29" xfId="0" applyNumberFormat="1" applyFont="1" applyFill="1" applyBorder="1"/>
    <xf numFmtId="5" fontId="34" fillId="0" borderId="38" xfId="0" applyNumberFormat="1" applyFont="1" applyBorder="1"/>
    <xf numFmtId="7" fontId="32" fillId="0" borderId="0" xfId="0" applyNumberFormat="1" applyFont="1"/>
    <xf numFmtId="200" fontId="23" fillId="10" borderId="0" xfId="0" applyNumberFormat="1" applyFont="1" applyFill="1"/>
    <xf numFmtId="37" fontId="33" fillId="0" borderId="4" xfId="0" applyNumberFormat="1" applyFont="1" applyBorder="1"/>
    <xf numFmtId="37" fontId="33" fillId="10" borderId="0" xfId="0" applyNumberFormat="1" applyFont="1" applyFill="1"/>
    <xf numFmtId="37" fontId="33" fillId="0" borderId="0" xfId="0" applyNumberFormat="1" applyFont="1"/>
    <xf numFmtId="37" fontId="31" fillId="10" borderId="4" xfId="0" applyNumberFormat="1" applyFont="1" applyFill="1" applyBorder="1"/>
    <xf numFmtId="7" fontId="31" fillId="10" borderId="4" xfId="0" applyNumberFormat="1" applyFont="1" applyFill="1" applyBorder="1"/>
    <xf numFmtId="7" fontId="23" fillId="10" borderId="0" xfId="0" applyNumberFormat="1" applyFont="1" applyFill="1"/>
    <xf numFmtId="7" fontId="33" fillId="10" borderId="0" xfId="0" applyNumberFormat="1" applyFont="1" applyFill="1"/>
    <xf numFmtId="185" fontId="33" fillId="10" borderId="0" xfId="0" applyNumberFormat="1" applyFont="1" applyFill="1"/>
    <xf numFmtId="186" fontId="34" fillId="10" borderId="0" xfId="0" applyNumberFormat="1" applyFont="1" applyFill="1"/>
    <xf numFmtId="184" fontId="30" fillId="10" borderId="0" xfId="0" applyNumberFormat="1" applyFont="1" applyFill="1" applyAlignment="1">
      <alignment horizontal="right"/>
    </xf>
    <xf numFmtId="5" fontId="30" fillId="10" borderId="2" xfId="0" applyNumberFormat="1" applyFont="1" applyFill="1" applyBorder="1"/>
    <xf numFmtId="185" fontId="32" fillId="10" borderId="0" xfId="0" applyNumberFormat="1" applyFont="1" applyFill="1"/>
    <xf numFmtId="9" fontId="30" fillId="10" borderId="0" xfId="0" applyNumberFormat="1" applyFont="1" applyFill="1"/>
    <xf numFmtId="37" fontId="23" fillId="0" borderId="34" xfId="0" applyNumberFormat="1" applyFont="1" applyBorder="1"/>
    <xf numFmtId="37" fontId="30" fillId="0" borderId="2" xfId="0" applyNumberFormat="1" applyFont="1" applyBorder="1"/>
    <xf numFmtId="37" fontId="30" fillId="0" borderId="3" xfId="0" applyNumberFormat="1" applyFont="1" applyBorder="1"/>
    <xf numFmtId="37" fontId="33" fillId="0" borderId="6" xfId="0" applyNumberFormat="1" applyFont="1" applyBorder="1"/>
    <xf numFmtId="37" fontId="31" fillId="0" borderId="34" xfId="0" applyNumberFormat="1" applyFont="1" applyBorder="1"/>
    <xf numFmtId="37" fontId="34" fillId="0" borderId="34" xfId="0" applyNumberFormat="1" applyFont="1" applyBorder="1"/>
    <xf numFmtId="37" fontId="34" fillId="0" borderId="0" xfId="0" applyNumberFormat="1" applyFont="1"/>
    <xf numFmtId="37" fontId="30" fillId="0" borderId="34" xfId="0" applyNumberFormat="1" applyFont="1" applyBorder="1"/>
    <xf numFmtId="202" fontId="30" fillId="0" borderId="34" xfId="0" applyNumberFormat="1" applyFont="1" applyBorder="1"/>
    <xf numFmtId="201" fontId="30" fillId="0" borderId="34" xfId="0" applyNumberFormat="1" applyFont="1" applyBorder="1"/>
    <xf numFmtId="5" fontId="23" fillId="0" borderId="7" xfId="0" applyNumberFormat="1" applyFont="1" applyBorder="1"/>
    <xf numFmtId="5" fontId="33" fillId="0" borderId="7" xfId="0" applyNumberFormat="1" applyFont="1" applyBorder="1"/>
    <xf numFmtId="5" fontId="30" fillId="0" borderId="6" xfId="0" applyNumberFormat="1" applyFont="1" applyBorder="1"/>
    <xf numFmtId="5" fontId="30" fillId="0" borderId="8" xfId="0" applyNumberFormat="1" applyFont="1" applyBorder="1"/>
    <xf numFmtId="203" fontId="23" fillId="0" borderId="0" xfId="0" applyNumberFormat="1" applyFont="1" applyAlignment="1">
      <alignment horizontal="right"/>
    </xf>
    <xf numFmtId="203" fontId="23" fillId="0" borderId="0" xfId="0" applyNumberFormat="1" applyFont="1"/>
    <xf numFmtId="185" fontId="30" fillId="0" borderId="8" xfId="0" applyNumberFormat="1" applyFont="1" applyBorder="1"/>
    <xf numFmtId="204" fontId="30" fillId="0" borderId="8" xfId="0" applyNumberFormat="1" applyFont="1" applyBorder="1"/>
    <xf numFmtId="192" fontId="30" fillId="0" borderId="8" xfId="0" applyNumberFormat="1" applyFont="1" applyBorder="1"/>
    <xf numFmtId="187" fontId="23" fillId="0" borderId="4" xfId="0" applyNumberFormat="1" applyFont="1" applyBorder="1"/>
    <xf numFmtId="187" fontId="23" fillId="0" borderId="0" xfId="0" applyNumberFormat="1" applyFont="1"/>
    <xf numFmtId="186" fontId="23" fillId="0" borderId="0" xfId="0" applyNumberFormat="1" applyFont="1"/>
    <xf numFmtId="188" fontId="23" fillId="0" borderId="0" xfId="0" applyNumberFormat="1" applyFont="1" applyAlignment="1">
      <alignment horizontal="right"/>
    </xf>
    <xf numFmtId="188" fontId="23" fillId="0" borderId="4" xfId="0" applyNumberFormat="1" applyFont="1" applyBorder="1"/>
    <xf numFmtId="188" fontId="23" fillId="0" borderId="0" xfId="0" applyNumberFormat="1" applyFont="1"/>
    <xf numFmtId="0" fontId="23" fillId="0" borderId="34" xfId="0" applyFont="1" applyBorder="1"/>
    <xf numFmtId="37" fontId="23" fillId="0" borderId="7" xfId="0" applyNumberFormat="1" applyFont="1" applyBorder="1"/>
    <xf numFmtId="188" fontId="30" fillId="0" borderId="0" xfId="0" applyNumberFormat="1" applyFont="1"/>
    <xf numFmtId="206" fontId="30" fillId="0" borderId="8" xfId="0" applyNumberFormat="1" applyFont="1" applyBorder="1"/>
    <xf numFmtId="0" fontId="29" fillId="0" borderId="0" xfId="0" applyFont="1" applyAlignment="1">
      <alignment horizontal="right"/>
    </xf>
    <xf numFmtId="188" fontId="30" fillId="0" borderId="8" xfId="0" applyNumberFormat="1" applyFont="1" applyBorder="1"/>
    <xf numFmtId="206" fontId="30" fillId="0" borderId="35" xfId="0" applyNumberFormat="1" applyFont="1" applyBorder="1"/>
    <xf numFmtId="204" fontId="30" fillId="0" borderId="8" xfId="0" applyNumberFormat="1" applyFont="1" applyBorder="1" applyAlignment="1">
      <alignment horizontal="right"/>
    </xf>
    <xf numFmtId="190" fontId="32" fillId="0" borderId="8" xfId="0" applyNumberFormat="1" applyFont="1" applyBorder="1"/>
    <xf numFmtId="0" fontId="23" fillId="0" borderId="10" xfId="0" applyFont="1" applyBorder="1"/>
    <xf numFmtId="37" fontId="23" fillId="0" borderId="10" xfId="0" applyNumberFormat="1" applyFont="1" applyBorder="1"/>
    <xf numFmtId="0" fontId="23" fillId="0" borderId="5" xfId="0" applyFont="1" applyBorder="1"/>
    <xf numFmtId="37" fontId="32" fillId="0" borderId="3" xfId="0" applyNumberFormat="1" applyFont="1" applyBorder="1"/>
    <xf numFmtId="7" fontId="31" fillId="0" borderId="2" xfId="0" applyNumberFormat="1" applyFont="1" applyBorder="1"/>
    <xf numFmtId="7" fontId="33" fillId="0" borderId="0" xfId="0" applyNumberFormat="1" applyFont="1"/>
    <xf numFmtId="185" fontId="33" fillId="0" borderId="0" xfId="0" applyNumberFormat="1" applyFont="1"/>
    <xf numFmtId="5" fontId="31" fillId="0" borderId="27" xfId="0" applyNumberFormat="1" applyFont="1" applyBorder="1"/>
    <xf numFmtId="209" fontId="32" fillId="0" borderId="4" xfId="0" applyNumberFormat="1" applyFont="1" applyBorder="1"/>
    <xf numFmtId="209" fontId="32" fillId="0" borderId="0" xfId="0" applyNumberFormat="1" applyFont="1"/>
    <xf numFmtId="205" fontId="30" fillId="0" borderId="0" xfId="0" applyNumberFormat="1" applyFont="1" applyAlignment="1">
      <alignment horizontal="center"/>
    </xf>
    <xf numFmtId="10" fontId="30" fillId="0" borderId="4" xfId="0" applyNumberFormat="1" applyFont="1" applyBorder="1"/>
    <xf numFmtId="0" fontId="23" fillId="0" borderId="35" xfId="0" applyFont="1" applyBorder="1"/>
    <xf numFmtId="10" fontId="23" fillId="0" borderId="9" xfId="0" applyNumberFormat="1" applyFont="1" applyBorder="1"/>
    <xf numFmtId="184" fontId="30" fillId="0" borderId="0" xfId="0" applyNumberFormat="1" applyFont="1" applyAlignment="1">
      <alignment horizontal="right"/>
    </xf>
    <xf numFmtId="198" fontId="23" fillId="11" borderId="0" xfId="0" applyNumberFormat="1" applyFont="1" applyFill="1"/>
    <xf numFmtId="0" fontId="23" fillId="11" borderId="0" xfId="0" applyFont="1" applyFill="1"/>
    <xf numFmtId="198" fontId="23" fillId="11" borderId="27" xfId="0" applyNumberFormat="1" applyFont="1" applyFill="1" applyBorder="1"/>
    <xf numFmtId="198" fontId="23" fillId="11" borderId="28" xfId="0" applyNumberFormat="1" applyFont="1" applyFill="1" applyBorder="1"/>
    <xf numFmtId="198" fontId="23" fillId="11" borderId="37" xfId="0" applyNumberFormat="1" applyFont="1" applyFill="1" applyBorder="1"/>
    <xf numFmtId="44" fontId="32" fillId="0" borderId="4" xfId="0" applyNumberFormat="1" applyFont="1" applyBorder="1"/>
    <xf numFmtId="44" fontId="32" fillId="0" borderId="0" xfId="0" applyNumberFormat="1" applyFont="1"/>
    <xf numFmtId="14" fontId="23" fillId="0" borderId="0" xfId="0" applyNumberFormat="1" applyFont="1"/>
    <xf numFmtId="37" fontId="32" fillId="0" borderId="6" xfId="0" applyNumberFormat="1" applyFont="1" applyBorder="1"/>
    <xf numFmtId="3" fontId="0" fillId="0" borderId="0" xfId="0" applyNumberFormat="1"/>
    <xf numFmtId="37" fontId="0" fillId="0" borderId="0" xfId="0" applyNumberFormat="1"/>
    <xf numFmtId="9" fontId="0" fillId="0" borderId="0" xfId="0" applyNumberFormat="1"/>
    <xf numFmtId="0" fontId="0" fillId="0" borderId="2" xfId="0" applyBorder="1" applyAlignment="1">
      <alignment horizontal="center"/>
    </xf>
    <xf numFmtId="37" fontId="30" fillId="0" borderId="4" xfId="0" applyNumberFormat="1" applyFont="1" applyBorder="1"/>
    <xf numFmtId="210" fontId="23" fillId="0" borderId="2" xfId="0" applyNumberFormat="1" applyFont="1" applyBorder="1"/>
    <xf numFmtId="10" fontId="23" fillId="0" borderId="6" xfId="0" applyNumberFormat="1" applyFont="1" applyBorder="1"/>
    <xf numFmtId="178" fontId="30" fillId="0" borderId="34" xfId="0" applyNumberFormat="1" applyFont="1" applyBorder="1"/>
    <xf numFmtId="37" fontId="23" fillId="9" borderId="5" xfId="0" applyNumberFormat="1" applyFont="1" applyFill="1" applyBorder="1"/>
    <xf numFmtId="37" fontId="23" fillId="9" borderId="6" xfId="0" applyNumberFormat="1" applyFont="1" applyFill="1" applyBorder="1"/>
    <xf numFmtId="44" fontId="10" fillId="2" borderId="1" xfId="5" applyFont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Continuous"/>
    </xf>
    <xf numFmtId="0" fontId="9" fillId="0" borderId="0" xfId="0" applyFont="1"/>
    <xf numFmtId="14" fontId="0" fillId="0" borderId="0" xfId="0" applyNumberFormat="1"/>
    <xf numFmtId="0" fontId="46" fillId="8" borderId="0" xfId="0" applyFont="1" applyFill="1" applyAlignment="1">
      <alignment horizontal="centerContinuous"/>
    </xf>
    <xf numFmtId="5" fontId="0" fillId="0" borderId="0" xfId="0" applyNumberFormat="1"/>
    <xf numFmtId="0" fontId="6" fillId="0" borderId="5" xfId="0" applyFont="1" applyBorder="1"/>
    <xf numFmtId="5" fontId="0" fillId="0" borderId="6" xfId="0" applyNumberFormat="1" applyBorder="1"/>
    <xf numFmtId="5" fontId="0" fillId="0" borderId="5" xfId="0" applyNumberFormat="1" applyBorder="1"/>
    <xf numFmtId="0" fontId="0" fillId="0" borderId="5" xfId="0" applyBorder="1"/>
    <xf numFmtId="211" fontId="0" fillId="0" borderId="3" xfId="0" applyNumberFormat="1" applyBorder="1"/>
    <xf numFmtId="211" fontId="0" fillId="0" borderId="2" xfId="0" applyNumberFormat="1" applyBorder="1"/>
    <xf numFmtId="0" fontId="9" fillId="0" borderId="2" xfId="0" applyFont="1" applyBorder="1" applyAlignment="1">
      <alignment horizontal="center"/>
    </xf>
    <xf numFmtId="5" fontId="0" fillId="0" borderId="7" xfId="0" applyNumberFormat="1" applyBorder="1"/>
    <xf numFmtId="212" fontId="0" fillId="0" borderId="0" xfId="0" applyNumberFormat="1"/>
    <xf numFmtId="212" fontId="0" fillId="0" borderId="6" xfId="0" applyNumberFormat="1" applyBorder="1"/>
    <xf numFmtId="212" fontId="0" fillId="0" borderId="7" xfId="0" applyNumberFormat="1" applyBorder="1"/>
    <xf numFmtId="212" fontId="0" fillId="0" borderId="5" xfId="0" applyNumberFormat="1" applyBorder="1"/>
    <xf numFmtId="3" fontId="47" fillId="0" borderId="0" xfId="0" applyNumberFormat="1" applyFont="1"/>
    <xf numFmtId="177" fontId="47" fillId="0" borderId="0" xfId="0" applyNumberFormat="1" applyFont="1"/>
    <xf numFmtId="5" fontId="47" fillId="0" borderId="4" xfId="0" applyNumberFormat="1" applyFont="1" applyBorder="1"/>
    <xf numFmtId="5" fontId="47" fillId="0" borderId="0" xfId="0" applyNumberFormat="1" applyFont="1"/>
    <xf numFmtId="37" fontId="47" fillId="0" borderId="4" xfId="0" applyNumberFormat="1" applyFont="1" applyBorder="1"/>
    <xf numFmtId="37" fontId="47" fillId="0" borderId="0" xfId="0" applyNumberFormat="1" applyFont="1"/>
    <xf numFmtId="212" fontId="47" fillId="0" borderId="4" xfId="0" applyNumberFormat="1" applyFont="1" applyBorder="1"/>
    <xf numFmtId="212" fontId="47" fillId="0" borderId="0" xfId="0" applyNumberFormat="1" applyFont="1"/>
    <xf numFmtId="3" fontId="47" fillId="0" borderId="4" xfId="0" applyNumberFormat="1" applyFont="1" applyBorder="1"/>
    <xf numFmtId="10" fontId="10" fillId="0" borderId="0" xfId="5" applyNumberFormat="1" applyFont="1"/>
    <xf numFmtId="178" fontId="9" fillId="0" borderId="0" xfId="0" applyNumberFormat="1" applyFont="1"/>
    <xf numFmtId="212" fontId="6" fillId="0" borderId="5" xfId="0" applyNumberFormat="1" applyFont="1" applyBorder="1"/>
    <xf numFmtId="213" fontId="0" fillId="0" borderId="0" xfId="0" applyNumberFormat="1"/>
    <xf numFmtId="0" fontId="0" fillId="0" borderId="2" xfId="0" applyBorder="1" applyAlignment="1">
      <alignment horizontal="centerContinuous"/>
    </xf>
    <xf numFmtId="5" fontId="6" fillId="0" borderId="5" xfId="0" applyNumberFormat="1" applyFont="1" applyBorder="1"/>
    <xf numFmtId="7" fontId="6" fillId="0" borderId="5" xfId="0" applyNumberFormat="1" applyFont="1" applyBorder="1"/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7" fontId="9" fillId="0" borderId="0" xfId="0" applyNumberFormat="1" applyFont="1"/>
    <xf numFmtId="7" fontId="47" fillId="0" borderId="0" xfId="0" applyNumberFormat="1" applyFont="1"/>
    <xf numFmtId="214" fontId="9" fillId="0" borderId="0" xfId="0" applyNumberFormat="1" applyFont="1"/>
    <xf numFmtId="0" fontId="0" fillId="0" borderId="0" xfId="0" applyAlignment="1">
      <alignment horizontal="right" vertical="center" textRotation="90" wrapText="1"/>
    </xf>
    <xf numFmtId="0" fontId="0" fillId="0" borderId="0" xfId="0" applyAlignment="1">
      <alignment horizontal="right" vertical="center" textRotation="90"/>
    </xf>
    <xf numFmtId="0" fontId="7" fillId="0" borderId="0" xfId="0" applyFont="1" applyAlignment="1">
      <alignment horizontal="right" vertical="center" textRotation="90" wrapText="1"/>
    </xf>
    <xf numFmtId="0" fontId="7" fillId="0" borderId="0" xfId="0" applyFont="1" applyAlignment="1">
      <alignment horizontal="right" vertical="center" textRotation="90"/>
    </xf>
    <xf numFmtId="0" fontId="33" fillId="0" borderId="36" xfId="0" applyFont="1" applyBorder="1" applyAlignment="1">
      <alignment horizontal="center" vertical="center" wrapText="1"/>
    </xf>
    <xf numFmtId="0" fontId="33" fillId="9" borderId="36" xfId="0" applyFont="1" applyFill="1" applyBorder="1" applyAlignment="1">
      <alignment horizontal="center" vertical="center" wrapText="1"/>
    </xf>
  </cellXfs>
  <cellStyles count="6">
    <cellStyle name="40% - Accent1" xfId="4" builtinId="31"/>
    <cellStyle name="Calculation" xfId="2" builtinId="22"/>
    <cellStyle name="Currency" xfId="5" builtinId="4"/>
    <cellStyle name="Explanatory Text" xfId="3" builtinId="53"/>
    <cellStyle name="Input" xfId="1" builtinId="20"/>
    <cellStyle name="Normal" xfId="0" builtinId="0"/>
  </cellStyles>
  <dxfs count="86"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font>
        <color rgb="FF9C0006"/>
      </font>
      <fill>
        <patternFill>
          <bgColor rgb="FFFFC7CE"/>
        </patternFill>
      </fill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font>
        <color rgb="FF9C0006"/>
      </font>
      <fill>
        <patternFill>
          <bgColor rgb="FFFFC7CE"/>
        </patternFill>
      </fill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font>
        <color rgb="FF9C0006"/>
      </font>
      <fill>
        <patternFill>
          <bgColor rgb="FFFFC7CE"/>
        </patternFill>
      </fill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  <dxf>
      <numFmt numFmtId="215" formatCode="&quot;--&quot;_)"/>
    </dxf>
  </dxfs>
  <tableStyles count="0" defaultTableStyle="TableStyleMedium2" defaultPivotStyle="PivotStyleLight16"/>
  <colors>
    <mruColors>
      <color rgb="FF008000"/>
      <color rgb="FF0000FF"/>
      <color rgb="FF189EDA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3340100</xdr:colOff>
          <xdr:row>9</xdr:row>
          <xdr:rowOff>177800</xdr:rowOff>
        </xdr:from>
        <xdr:to>
          <xdr:col>3</xdr:col>
          <xdr:colOff>12700</xdr:colOff>
          <xdr:row>11</xdr:row>
          <xdr:rowOff>0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1193800</xdr:colOff>
          <xdr:row>9</xdr:row>
          <xdr:rowOff>177800</xdr:rowOff>
        </xdr:from>
        <xdr:to>
          <xdr:col>3</xdr:col>
          <xdr:colOff>0</xdr:colOff>
          <xdr:row>10</xdr:row>
          <xdr:rowOff>177800</xdr:rowOff>
        </xdr:to>
        <xdr:sp macro="" textlink="">
          <xdr:nvSpPr>
            <xdr:cNvPr id="11329" name="Button 65" hidden="1">
              <a:extLst>
                <a:ext uri="{63B3BB69-23CF-44E3-9099-C40C66FF867C}">
                  <a14:compatExt spid="_x0000_s11329"/>
                </a:ext>
                <a:ext uri="{FF2B5EF4-FFF2-40B4-BE49-F238E27FC236}">
                  <a16:creationId xmlns:a16="http://schemas.microsoft.com/office/drawing/2014/main" id="{00000000-0008-0000-0200-00004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1270000</xdr:colOff>
          <xdr:row>9</xdr:row>
          <xdr:rowOff>177800</xdr:rowOff>
        </xdr:from>
        <xdr:to>
          <xdr:col>2</xdr:col>
          <xdr:colOff>1714500</xdr:colOff>
          <xdr:row>10</xdr:row>
          <xdr:rowOff>177800</xdr:rowOff>
        </xdr:to>
        <xdr:sp macro="" textlink="">
          <xdr:nvSpPr>
            <xdr:cNvPr id="10280" name="Button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3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1270000</xdr:colOff>
          <xdr:row>9</xdr:row>
          <xdr:rowOff>177800</xdr:rowOff>
        </xdr:from>
        <xdr:to>
          <xdr:col>2</xdr:col>
          <xdr:colOff>1714500</xdr:colOff>
          <xdr:row>10</xdr:row>
          <xdr:rowOff>177800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5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203200</xdr:colOff>
          <xdr:row>9</xdr:row>
          <xdr:rowOff>177800</xdr:rowOff>
        </xdr:from>
        <xdr:to>
          <xdr:col>3</xdr:col>
          <xdr:colOff>12700</xdr:colOff>
          <xdr:row>11</xdr:row>
          <xdr:rowOff>0</xdr:rowOff>
        </xdr:to>
        <xdr:sp macro="" textlink="">
          <xdr:nvSpPr>
            <xdr:cNvPr id="12321" name="Butto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5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Relationship Id="rId5" Type="http://schemas.openxmlformats.org/officeDocument/2006/relationships/comments" Target="../comments6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41A6-38E1-4D4C-B10B-772A89AA4660}">
  <sheetPr codeName="Sheet1"/>
  <dimension ref="A2:O275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2" max="2" width="50.1640625" bestFit="1" customWidth="1"/>
    <col min="3" max="3" width="14.5" bestFit="1" customWidth="1"/>
    <col min="4" max="10" width="11.6640625" bestFit="1" customWidth="1"/>
    <col min="11" max="11" width="10.5" bestFit="1" customWidth="1"/>
  </cols>
  <sheetData>
    <row r="2" spans="2:12" ht="26" x14ac:dyDescent="0.3">
      <c r="B2" s="1" t="str">
        <f>"Financial Statement Model for "&amp; C5</f>
        <v>Financial Statement Model for NVIDIA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">
      <c r="B3" s="4" t="s">
        <v>0</v>
      </c>
    </row>
    <row r="5" spans="2:12" x14ac:dyDescent="0.2">
      <c r="B5" s="5" t="s">
        <v>1</v>
      </c>
      <c r="C5" s="6" t="s">
        <v>2</v>
      </c>
    </row>
    <row r="6" spans="2:12" x14ac:dyDescent="0.2">
      <c r="B6" s="5" t="s">
        <v>3</v>
      </c>
      <c r="C6" s="6" t="s">
        <v>4</v>
      </c>
    </row>
    <row r="7" spans="2:12" x14ac:dyDescent="0.2">
      <c r="B7" s="5" t="s">
        <v>5</v>
      </c>
      <c r="C7" s="597">
        <v>485.09</v>
      </c>
    </row>
    <row r="8" spans="2:12" x14ac:dyDescent="0.2">
      <c r="B8" s="5" t="s">
        <v>6</v>
      </c>
      <c r="C8" s="7">
        <v>45173</v>
      </c>
    </row>
    <row r="9" spans="2:12" x14ac:dyDescent="0.2">
      <c r="B9" s="5" t="s">
        <v>7</v>
      </c>
      <c r="C9" s="7">
        <v>44955</v>
      </c>
      <c r="E9" s="8"/>
    </row>
    <row r="10" spans="2:12" x14ac:dyDescent="0.2">
      <c r="B10" s="5" t="s">
        <v>8</v>
      </c>
      <c r="C10" s="6" t="s">
        <v>9</v>
      </c>
      <c r="D10" t="s">
        <v>10</v>
      </c>
    </row>
    <row r="11" spans="2:12" x14ac:dyDescent="0.2">
      <c r="B11" s="5" t="s">
        <v>11</v>
      </c>
      <c r="C11" s="6">
        <v>1</v>
      </c>
    </row>
    <row r="13" spans="2:12" ht="20" x14ac:dyDescent="0.25">
      <c r="B13" s="9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12" x14ac:dyDescent="0.2">
      <c r="C14" s="12">
        <f>EOMONTH(D14,-12)</f>
        <v>44196</v>
      </c>
      <c r="D14" s="12">
        <f>EOMONTH(E14,-12)</f>
        <v>44561</v>
      </c>
      <c r="E14" s="13">
        <v>44926</v>
      </c>
      <c r="F14" s="12">
        <f>EOMONTH(E14,12)</f>
        <v>45291</v>
      </c>
      <c r="G14" s="12">
        <f t="shared" ref="G14:K14" si="0">EOMONTH(F14,12)</f>
        <v>45657</v>
      </c>
      <c r="H14" s="12">
        <f t="shared" si="0"/>
        <v>46022</v>
      </c>
      <c r="I14" s="12">
        <f t="shared" si="0"/>
        <v>46387</v>
      </c>
      <c r="J14" s="12">
        <f t="shared" si="0"/>
        <v>46752</v>
      </c>
      <c r="K14" s="12">
        <f t="shared" si="0"/>
        <v>47118</v>
      </c>
      <c r="L14" s="14"/>
    </row>
    <row r="15" spans="2:12" x14ac:dyDescent="0.2">
      <c r="B15" t="s">
        <v>13</v>
      </c>
      <c r="C15" s="15">
        <v>16675</v>
      </c>
      <c r="D15" s="162">
        <v>26914</v>
      </c>
      <c r="E15" s="16">
        <v>26974</v>
      </c>
      <c r="F15" s="17">
        <f>E15*(1+INDEX(F46:F48,MATCH($C$10,$B$46:$B$48,0)))</f>
        <v>35285.529728266578</v>
      </c>
      <c r="G15" s="17">
        <f t="shared" ref="G15:K15" si="1">F15*(1+INDEX(G46:G48,MATCH($C$10,$B$46:$B$48,0)))</f>
        <v>46158.100697129994</v>
      </c>
      <c r="H15" s="17">
        <f t="shared" si="1"/>
        <v>60380.849497623742</v>
      </c>
      <c r="I15" s="17">
        <f t="shared" si="1"/>
        <v>78986.070288662886</v>
      </c>
      <c r="J15" s="17">
        <f t="shared" si="1"/>
        <v>103324.13921886143</v>
      </c>
      <c r="K15" s="17">
        <f t="shared" si="1"/>
        <v>135161.52539685214</v>
      </c>
      <c r="L15" s="18"/>
    </row>
    <row r="16" spans="2:12" x14ac:dyDescent="0.2">
      <c r="B16" s="19" t="s">
        <v>14</v>
      </c>
      <c r="C16" s="21"/>
      <c r="D16" s="163">
        <f>(D15-C15)/C15</f>
        <v>0.61403298350824587</v>
      </c>
      <c r="E16" s="164">
        <f t="shared" ref="E16" si="2">(E15-D15)/D15</f>
        <v>2.2293230289068887E-3</v>
      </c>
      <c r="F16" s="163"/>
      <c r="G16" s="163"/>
      <c r="H16" s="163"/>
      <c r="I16" s="163"/>
      <c r="J16" s="163"/>
      <c r="K16" s="163"/>
      <c r="L16" s="18"/>
    </row>
    <row r="17" spans="1:12" x14ac:dyDescent="0.2">
      <c r="B17" t="s">
        <v>15</v>
      </c>
      <c r="C17" s="23">
        <v>5181</v>
      </c>
      <c r="D17" s="23">
        <v>8265</v>
      </c>
      <c r="E17" s="24">
        <v>10074</v>
      </c>
      <c r="F17" s="25">
        <f t="shared" ref="F17:K17" si="3">F15*(1-F49)</f>
        <v>13178.113238027636</v>
      </c>
      <c r="G17" s="25">
        <f t="shared" si="3"/>
        <v>17238.700467964987</v>
      </c>
      <c r="H17" s="25">
        <f t="shared" si="3"/>
        <v>22550.481124010585</v>
      </c>
      <c r="I17" s="25">
        <f t="shared" si="3"/>
        <v>29498.986879513228</v>
      </c>
      <c r="J17" s="25">
        <f t="shared" si="3"/>
        <v>38588.543726952244</v>
      </c>
      <c r="K17" s="25">
        <f t="shared" si="3"/>
        <v>50478.876208492933</v>
      </c>
      <c r="L17" s="18"/>
    </row>
    <row r="18" spans="1:12" x14ac:dyDescent="0.2">
      <c r="B18" s="26" t="s">
        <v>16</v>
      </c>
      <c r="C18" s="27">
        <f t="shared" ref="C18:K18" si="4">C15-C17</f>
        <v>11494</v>
      </c>
      <c r="D18" s="27">
        <f t="shared" si="4"/>
        <v>18649</v>
      </c>
      <c r="E18" s="35">
        <f t="shared" si="4"/>
        <v>16900</v>
      </c>
      <c r="F18" s="29">
        <f t="shared" si="4"/>
        <v>22107.416490238942</v>
      </c>
      <c r="G18" s="29">
        <f>G15-G17</f>
        <v>28919.400229165007</v>
      </c>
      <c r="H18" s="29">
        <f t="shared" si="4"/>
        <v>37830.368373613157</v>
      </c>
      <c r="I18" s="29">
        <f t="shared" si="4"/>
        <v>49487.083409149658</v>
      </c>
      <c r="J18" s="29">
        <f t="shared" si="4"/>
        <v>64735.595491909182</v>
      </c>
      <c r="K18" s="29">
        <f t="shared" si="4"/>
        <v>84682.64918835921</v>
      </c>
    </row>
    <row r="19" spans="1:12" x14ac:dyDescent="0.2">
      <c r="B19" s="19" t="s">
        <v>17</v>
      </c>
      <c r="C19" s="30">
        <f t="shared" ref="C19:E19" si="5">(C15-C17)/C15</f>
        <v>0.6892953523238381</v>
      </c>
      <c r="D19" s="30">
        <f t="shared" si="5"/>
        <v>0.69291075276807612</v>
      </c>
      <c r="E19" s="31">
        <f t="shared" si="5"/>
        <v>0.62652925038926377</v>
      </c>
      <c r="F19" s="17"/>
      <c r="G19" s="17"/>
      <c r="H19" s="17"/>
      <c r="I19" s="17"/>
      <c r="J19" s="17"/>
      <c r="K19" s="17"/>
    </row>
    <row r="20" spans="1:12" x14ac:dyDescent="0.2">
      <c r="E20" s="32"/>
      <c r="F20" s="17"/>
      <c r="G20" s="17"/>
      <c r="H20" s="17"/>
      <c r="I20" s="17"/>
      <c r="J20" s="17"/>
      <c r="K20" s="17"/>
    </row>
    <row r="21" spans="1:12" x14ac:dyDescent="0.2">
      <c r="B21" t="s">
        <v>18</v>
      </c>
      <c r="C21" s="165">
        <v>3924</v>
      </c>
      <c r="D21" s="165">
        <v>5268</v>
      </c>
      <c r="E21" s="166">
        <v>7339</v>
      </c>
      <c r="F21" s="17">
        <f>$E$21/$E$23*F23</f>
        <v>9600.3745338380813</v>
      </c>
      <c r="G21" s="17">
        <f t="shared" ref="G21:K21" si="6">$E$21/$E$23*G23</f>
        <v>12558.54901075988</v>
      </c>
      <c r="H21" s="17">
        <f t="shared" si="6"/>
        <v>16428.229200825263</v>
      </c>
      <c r="I21" s="17">
        <f t="shared" si="6"/>
        <v>21490.278410636052</v>
      </c>
      <c r="J21" s="17">
        <f t="shared" si="6"/>
        <v>28112.102681368131</v>
      </c>
      <c r="K21" s="17">
        <f t="shared" si="6"/>
        <v>36774.317301382733</v>
      </c>
    </row>
    <row r="22" spans="1:12" x14ac:dyDescent="0.2">
      <c r="B22" t="s">
        <v>19</v>
      </c>
      <c r="C22" s="165">
        <v>1856</v>
      </c>
      <c r="D22" s="165">
        <v>2166</v>
      </c>
      <c r="E22" s="166">
        <v>2440</v>
      </c>
      <c r="F22" s="17">
        <f>$E$22/$E$23*F23</f>
        <v>3191.8400139753262</v>
      </c>
      <c r="G22" s="17">
        <f t="shared" ref="G22:K22" si="7">$E$22/$E$23*G23</f>
        <v>4175.3453585303323</v>
      </c>
      <c r="H22" s="17">
        <f t="shared" si="7"/>
        <v>5461.8993391488821</v>
      </c>
      <c r="I22" s="17">
        <f t="shared" si="7"/>
        <v>7144.8806815577018</v>
      </c>
      <c r="J22" s="17">
        <f t="shared" si="7"/>
        <v>9346.4410059324491</v>
      </c>
      <c r="K22" s="17">
        <f t="shared" si="7"/>
        <v>12226.370652047128</v>
      </c>
    </row>
    <row r="23" spans="1:12" x14ac:dyDescent="0.2">
      <c r="B23" s="26" t="s">
        <v>20</v>
      </c>
      <c r="C23" s="34">
        <f t="shared" ref="C23:E23" si="8">C22+C21</f>
        <v>5780</v>
      </c>
      <c r="D23" s="34">
        <f t="shared" si="8"/>
        <v>7434</v>
      </c>
      <c r="E23" s="35">
        <f t="shared" si="8"/>
        <v>9779</v>
      </c>
      <c r="F23" s="36">
        <f t="shared" ref="F23:K23" si="9">F15*F50</f>
        <v>12792.214547813408</v>
      </c>
      <c r="G23" s="36">
        <f t="shared" si="9"/>
        <v>16733.894369290214</v>
      </c>
      <c r="H23" s="36">
        <f t="shared" si="9"/>
        <v>21890.128539974146</v>
      </c>
      <c r="I23" s="36">
        <f t="shared" si="9"/>
        <v>28635.159092193757</v>
      </c>
      <c r="J23" s="36">
        <f t="shared" si="9"/>
        <v>37458.543687300582</v>
      </c>
      <c r="K23" s="36">
        <f t="shared" si="9"/>
        <v>49000.687953429864</v>
      </c>
    </row>
    <row r="24" spans="1:12" x14ac:dyDescent="0.2">
      <c r="B24" s="19" t="s">
        <v>21</v>
      </c>
      <c r="C24" s="30">
        <f t="shared" ref="C24:E24" si="10">C23/C15</f>
        <v>0.34662668665667168</v>
      </c>
      <c r="D24" s="30">
        <f t="shared" si="10"/>
        <v>0.2762131232815635</v>
      </c>
      <c r="E24" s="31">
        <f t="shared" si="10"/>
        <v>0.36253429228145623</v>
      </c>
      <c r="F24" s="17"/>
      <c r="G24" s="17"/>
      <c r="H24" s="17"/>
      <c r="I24" s="17"/>
      <c r="J24" s="17"/>
      <c r="K24" s="17"/>
    </row>
    <row r="25" spans="1:12" x14ac:dyDescent="0.2">
      <c r="A25" s="26"/>
      <c r="B25" s="37"/>
      <c r="C25" s="37"/>
      <c r="D25" s="37"/>
      <c r="E25" s="38"/>
      <c r="F25" s="39"/>
      <c r="G25" s="39"/>
      <c r="H25" s="39"/>
      <c r="I25" s="39"/>
      <c r="J25" s="39"/>
      <c r="K25" s="17"/>
    </row>
    <row r="26" spans="1:12" x14ac:dyDescent="0.2">
      <c r="B26" s="40" t="s">
        <v>22</v>
      </c>
      <c r="C26" s="41"/>
      <c r="D26" s="41"/>
      <c r="E26" s="42"/>
      <c r="F26" s="17"/>
      <c r="G26" s="17"/>
      <c r="H26" s="17"/>
      <c r="I26" s="17"/>
      <c r="J26" s="17"/>
      <c r="K26" s="17"/>
    </row>
    <row r="27" spans="1:12" x14ac:dyDescent="0.2">
      <c r="B27" s="26" t="s">
        <v>23</v>
      </c>
      <c r="C27" s="34">
        <f t="shared" ref="C27:D27" si="11">C18-C23</f>
        <v>5714</v>
      </c>
      <c r="D27" s="34">
        <f t="shared" si="11"/>
        <v>11215</v>
      </c>
      <c r="E27" s="35">
        <f>E18-E23</f>
        <v>7121</v>
      </c>
      <c r="F27" s="36">
        <f>F18-F23</f>
        <v>9315.2019424255341</v>
      </c>
      <c r="G27" s="36">
        <f t="shared" ref="G27:K27" si="12">G18-G23</f>
        <v>12185.505859874793</v>
      </c>
      <c r="H27" s="36">
        <f t="shared" si="12"/>
        <v>15940.239833639011</v>
      </c>
      <c r="I27" s="36">
        <f t="shared" si="12"/>
        <v>20851.924316955901</v>
      </c>
      <c r="J27" s="36">
        <f t="shared" si="12"/>
        <v>27277.0518046086</v>
      </c>
      <c r="K27" s="36">
        <f t="shared" si="12"/>
        <v>35681.961234929346</v>
      </c>
    </row>
    <row r="28" spans="1:12" x14ac:dyDescent="0.2">
      <c r="B28" s="19" t="s">
        <v>24</v>
      </c>
      <c r="C28" s="30">
        <f t="shared" ref="C28:E28" si="13">C27/C15</f>
        <v>0.34266866566716642</v>
      </c>
      <c r="D28" s="30">
        <f t="shared" si="13"/>
        <v>0.41669762948651262</v>
      </c>
      <c r="E28" s="31">
        <f t="shared" si="13"/>
        <v>0.26399495810780754</v>
      </c>
      <c r="F28" s="17"/>
      <c r="G28" s="17"/>
      <c r="H28" s="17"/>
      <c r="I28" s="17"/>
      <c r="J28" s="17"/>
      <c r="K28" s="17"/>
    </row>
    <row r="29" spans="1:12" x14ac:dyDescent="0.2">
      <c r="B29" t="s">
        <v>25</v>
      </c>
      <c r="C29" s="15">
        <v>486</v>
      </c>
      <c r="D29" s="15">
        <v>611</v>
      </c>
      <c r="E29" s="16">
        <v>845</v>
      </c>
      <c r="F29" s="17">
        <f>-F122</f>
        <v>782.30472265316394</v>
      </c>
      <c r="G29" s="17">
        <f t="shared" ref="G29:K29" si="14">-G122</f>
        <v>1183.1549891432173</v>
      </c>
      <c r="H29" s="17">
        <f t="shared" si="14"/>
        <v>1707.519710534867</v>
      </c>
      <c r="I29" s="17">
        <f t="shared" si="14"/>
        <v>2393.4575382622816</v>
      </c>
      <c r="J29" s="17">
        <f t="shared" si="14"/>
        <v>3290.7541799178866</v>
      </c>
      <c r="K29" s="17">
        <f t="shared" si="14"/>
        <v>4464.5358705908538</v>
      </c>
    </row>
    <row r="30" spans="1:12" x14ac:dyDescent="0.2">
      <c r="B30" t="s">
        <v>26</v>
      </c>
      <c r="C30" s="23">
        <v>612</v>
      </c>
      <c r="D30" s="23">
        <v>563</v>
      </c>
      <c r="E30" s="24">
        <v>699</v>
      </c>
      <c r="F30" s="25">
        <f>-F127</f>
        <v>699</v>
      </c>
      <c r="G30" s="25">
        <f t="shared" ref="G30:K30" si="15">-G127</f>
        <v>699</v>
      </c>
      <c r="H30" s="25">
        <f t="shared" si="15"/>
        <v>699</v>
      </c>
      <c r="I30" s="25">
        <f t="shared" si="15"/>
        <v>699</v>
      </c>
      <c r="J30" s="25">
        <f t="shared" si="15"/>
        <v>699</v>
      </c>
      <c r="K30" s="25">
        <f t="shared" si="15"/>
        <v>699</v>
      </c>
    </row>
    <row r="31" spans="1:12" x14ac:dyDescent="0.2">
      <c r="B31" s="26" t="s">
        <v>27</v>
      </c>
      <c r="C31" s="34">
        <f t="shared" ref="C31:E31" si="16">C27-SUM(C29:C30)</f>
        <v>4616</v>
      </c>
      <c r="D31" s="34">
        <f t="shared" si="16"/>
        <v>10041</v>
      </c>
      <c r="E31" s="35">
        <f t="shared" si="16"/>
        <v>5577</v>
      </c>
      <c r="F31" s="36">
        <f>F27-SUM(F29:F30)</f>
        <v>7833.8972197723706</v>
      </c>
      <c r="G31" s="36">
        <f t="shared" ref="G31:K31" si="17">G27-SUM(G29:G30)</f>
        <v>10303.350870731576</v>
      </c>
      <c r="H31" s="36">
        <f t="shared" si="17"/>
        <v>13533.720123104144</v>
      </c>
      <c r="I31" s="36">
        <f t="shared" si="17"/>
        <v>17759.466778693619</v>
      </c>
      <c r="J31" s="36">
        <f t="shared" si="17"/>
        <v>23287.297624690713</v>
      </c>
      <c r="K31" s="36">
        <f t="shared" si="17"/>
        <v>30518.425364338491</v>
      </c>
    </row>
    <row r="32" spans="1:12" x14ac:dyDescent="0.2">
      <c r="B32" t="s">
        <v>28</v>
      </c>
      <c r="C32" s="15">
        <v>84</v>
      </c>
      <c r="D32" s="15">
        <v>-100</v>
      </c>
      <c r="E32" s="16">
        <v>1414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</row>
    <row r="33" spans="2:11" x14ac:dyDescent="0.2">
      <c r="B33" t="s">
        <v>29</v>
      </c>
      <c r="C33" s="15">
        <v>4</v>
      </c>
      <c r="D33" s="15">
        <v>7</v>
      </c>
      <c r="E33" s="16">
        <v>13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</row>
    <row r="34" spans="2:11" x14ac:dyDescent="0.2">
      <c r="B34" t="s">
        <v>30</v>
      </c>
      <c r="C34" s="15">
        <v>57</v>
      </c>
      <c r="D34" s="15">
        <v>29</v>
      </c>
      <c r="E34" s="16">
        <v>267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</row>
    <row r="35" spans="2:11" x14ac:dyDescent="0.2">
      <c r="B35" t="s">
        <v>31</v>
      </c>
      <c r="C35" s="15">
        <v>184</v>
      </c>
      <c r="D35" s="15">
        <v>236</v>
      </c>
      <c r="E35" s="16">
        <v>262</v>
      </c>
      <c r="F35" s="17">
        <f ca="1">IF($C$11=1, F211,0)</f>
        <v>232.63337535284728</v>
      </c>
      <c r="G35" s="17">
        <f t="shared" ref="G35:K35" ca="1" si="18">IF($C$11=1, G211,0)</f>
        <v>274.44673440269833</v>
      </c>
      <c r="H35" s="17">
        <f t="shared" ca="1" si="18"/>
        <v>300.72765850843911</v>
      </c>
      <c r="I35" s="17">
        <f t="shared" ca="1" si="18"/>
        <v>303.49781951871671</v>
      </c>
      <c r="J35" s="17">
        <f t="shared" ca="1" si="18"/>
        <v>275.21125158881529</v>
      </c>
      <c r="K35" s="17">
        <f t="shared" ca="1" si="18"/>
        <v>216.32161417683133</v>
      </c>
    </row>
    <row r="36" spans="2:11" x14ac:dyDescent="0.2">
      <c r="B36" s="26" t="s">
        <v>32</v>
      </c>
      <c r="C36" s="34">
        <f t="shared" ref="C36:K36" si="19">C31-C32+C33+C34-C35</f>
        <v>4409</v>
      </c>
      <c r="D36" s="34">
        <f t="shared" si="19"/>
        <v>9941</v>
      </c>
      <c r="E36" s="34">
        <f t="shared" si="19"/>
        <v>4181</v>
      </c>
      <c r="F36" s="43">
        <f t="shared" ca="1" si="19"/>
        <v>7601.2638444195236</v>
      </c>
      <c r="G36" s="36">
        <f t="shared" ca="1" si="19"/>
        <v>10028.904136328878</v>
      </c>
      <c r="H36" s="36">
        <f t="shared" ca="1" si="19"/>
        <v>13232.992464595705</v>
      </c>
      <c r="I36" s="36">
        <f t="shared" ca="1" si="19"/>
        <v>17455.968959174901</v>
      </c>
      <c r="J36" s="36">
        <f t="shared" ca="1" si="19"/>
        <v>23012.086373101898</v>
      </c>
      <c r="K36" s="36">
        <f t="shared" ca="1" si="19"/>
        <v>30302.103750161659</v>
      </c>
    </row>
    <row r="37" spans="2:11" x14ac:dyDescent="0.2">
      <c r="B37" t="s">
        <v>33</v>
      </c>
      <c r="C37" s="8">
        <v>77</v>
      </c>
      <c r="D37" s="8">
        <v>189</v>
      </c>
      <c r="E37" s="191">
        <v>-187</v>
      </c>
      <c r="F37" s="17">
        <f t="shared" ref="F37:K37" ca="1" si="20">F36*F52</f>
        <v>-339.9752066267522</v>
      </c>
      <c r="G37" s="17">
        <f t="shared" ca="1" si="20"/>
        <v>-448.55419122064103</v>
      </c>
      <c r="H37" s="17">
        <f t="shared" ca="1" si="20"/>
        <v>-591.8607009996166</v>
      </c>
      <c r="I37" s="17">
        <f t="shared" ca="1" si="20"/>
        <v>-780.73814765981979</v>
      </c>
      <c r="J37" s="17">
        <f t="shared" ca="1" si="20"/>
        <v>-1029.2418444798027</v>
      </c>
      <c r="K37" s="17">
        <f t="shared" ca="1" si="20"/>
        <v>-1355.2961973882398</v>
      </c>
    </row>
    <row r="38" spans="2:11" x14ac:dyDescent="0.2">
      <c r="B38" s="19" t="s">
        <v>34</v>
      </c>
      <c r="C38" s="30">
        <f t="shared" ref="C38:E38" si="21">C37/C36</f>
        <v>1.7464277613971423E-2</v>
      </c>
      <c r="D38" s="30">
        <f t="shared" si="21"/>
        <v>1.9012171813700834E-2</v>
      </c>
      <c r="E38" s="167">
        <f t="shared" si="21"/>
        <v>-4.4726142071274816E-2</v>
      </c>
      <c r="F38" s="17"/>
      <c r="G38" s="17"/>
      <c r="H38" s="17"/>
      <c r="I38" s="17"/>
      <c r="J38" s="17"/>
      <c r="K38" s="17"/>
    </row>
    <row r="39" spans="2:11" x14ac:dyDescent="0.2">
      <c r="B39" s="26" t="s">
        <v>35</v>
      </c>
      <c r="C39" s="34">
        <f t="shared" ref="C39:E39" si="22">C36-C37</f>
        <v>4332</v>
      </c>
      <c r="D39" s="34">
        <f t="shared" si="22"/>
        <v>9752</v>
      </c>
      <c r="E39" s="35">
        <f t="shared" si="22"/>
        <v>4368</v>
      </c>
      <c r="F39" s="36">
        <f ca="1">F36-F37</f>
        <v>7941.2390510462756</v>
      </c>
      <c r="G39" s="36">
        <f t="shared" ref="G39:K39" ca="1" si="23">G36-G37</f>
        <v>10477.458327549519</v>
      </c>
      <c r="H39" s="36">
        <f t="shared" ca="1" si="23"/>
        <v>13824.853165595321</v>
      </c>
      <c r="I39" s="36">
        <f t="shared" ca="1" si="23"/>
        <v>18236.707106834721</v>
      </c>
      <c r="J39" s="36">
        <f t="shared" ca="1" si="23"/>
        <v>24041.3282175817</v>
      </c>
      <c r="K39" s="36">
        <f t="shared" ca="1" si="23"/>
        <v>31657.3999475499</v>
      </c>
    </row>
    <row r="41" spans="2:11" x14ac:dyDescent="0.2">
      <c r="B41" s="26" t="s">
        <v>36</v>
      </c>
      <c r="C41" s="44">
        <f t="shared" ref="C41:K41" si="24">C233</f>
        <v>1.7314148681055155</v>
      </c>
      <c r="D41" s="44">
        <f t="shared" si="24"/>
        <v>3.9577922077922079</v>
      </c>
      <c r="E41" s="44">
        <f t="shared" si="24"/>
        <v>1.735399284862932</v>
      </c>
      <c r="F41" s="45">
        <f t="shared" ca="1" si="24"/>
        <v>3.1669517507534541</v>
      </c>
      <c r="G41" s="44">
        <f t="shared" ca="1" si="24"/>
        <v>4.178247695606137</v>
      </c>
      <c r="H41" s="44">
        <f t="shared" ca="1" si="24"/>
        <v>5.4972141532670218</v>
      </c>
      <c r="I41" s="44">
        <f t="shared" ca="1" si="24"/>
        <v>7.2151429076472091</v>
      </c>
      <c r="J41" s="44">
        <f t="shared" ca="1" si="24"/>
        <v>9.4489755312438319</v>
      </c>
      <c r="K41" s="44">
        <f t="shared" ca="1" si="24"/>
        <v>12.345882914570407</v>
      </c>
    </row>
    <row r="42" spans="2:11" x14ac:dyDescent="0.2">
      <c r="B42" s="26" t="s">
        <v>37</v>
      </c>
      <c r="C42" s="44">
        <f t="shared" ref="C42:K42" si="25">C232</f>
        <v>1.7258964143426294</v>
      </c>
      <c r="D42" s="44">
        <f t="shared" si="25"/>
        <v>3.8469428007889546</v>
      </c>
      <c r="E42" s="44">
        <f t="shared" si="25"/>
        <v>1.7423214998005585</v>
      </c>
      <c r="F42" s="45">
        <f t="shared" ca="1" si="25"/>
        <v>3.1796320658440189</v>
      </c>
      <c r="G42" s="44">
        <f t="shared" ca="1" si="25"/>
        <v>4.194976610968955</v>
      </c>
      <c r="H42" s="44">
        <f t="shared" ca="1" si="25"/>
        <v>5.5191601405955044</v>
      </c>
      <c r="I42" s="44">
        <f t="shared" ca="1" si="25"/>
        <v>7.2438021757852757</v>
      </c>
      <c r="J42" s="44">
        <f t="shared" ca="1" si="25"/>
        <v>9.4862594252036629</v>
      </c>
      <c r="K42" s="44">
        <f t="shared" ca="1" si="25"/>
        <v>12.394218396763376</v>
      </c>
    </row>
    <row r="44" spans="2:11" x14ac:dyDescent="0.2">
      <c r="B44" s="40" t="s">
        <v>38</v>
      </c>
    </row>
    <row r="45" spans="2:11" x14ac:dyDescent="0.2">
      <c r="B45" t="s">
        <v>39</v>
      </c>
      <c r="C45" s="20"/>
      <c r="D45" s="30">
        <f>(D15/C15)-1</f>
        <v>0.61403298350824587</v>
      </c>
      <c r="E45" s="31">
        <f>(E15/D15)-1</f>
        <v>2.2293230289069932E-3</v>
      </c>
      <c r="F45" s="46"/>
      <c r="G45" s="30"/>
      <c r="H45" s="30"/>
      <c r="I45" s="30"/>
      <c r="J45" s="30"/>
      <c r="K45" s="30"/>
    </row>
    <row r="46" spans="2:11" x14ac:dyDescent="0.2">
      <c r="B46" s="19" t="s">
        <v>40</v>
      </c>
      <c r="C46" s="20"/>
      <c r="D46" s="20"/>
      <c r="E46" s="47"/>
      <c r="F46" s="48">
        <v>0.65</v>
      </c>
      <c r="G46" s="49">
        <f t="shared" ref="G46:K52" si="26">F46</f>
        <v>0.65</v>
      </c>
      <c r="H46" s="49">
        <f t="shared" si="26"/>
        <v>0.65</v>
      </c>
      <c r="I46" s="49">
        <f t="shared" si="26"/>
        <v>0.65</v>
      </c>
      <c r="J46" s="49">
        <f t="shared" si="26"/>
        <v>0.65</v>
      </c>
      <c r="K46" s="49">
        <f t="shared" si="26"/>
        <v>0.65</v>
      </c>
    </row>
    <row r="47" spans="2:11" x14ac:dyDescent="0.2">
      <c r="B47" s="19" t="s">
        <v>9</v>
      </c>
      <c r="C47" s="20"/>
      <c r="D47" s="50"/>
      <c r="E47" s="51"/>
      <c r="F47" s="52">
        <f>AVERAGE(D16:E16)</f>
        <v>0.30813115326857637</v>
      </c>
      <c r="G47" s="49">
        <f t="shared" si="26"/>
        <v>0.30813115326857637</v>
      </c>
      <c r="H47" s="49">
        <f t="shared" si="26"/>
        <v>0.30813115326857637</v>
      </c>
      <c r="I47" s="49">
        <f t="shared" si="26"/>
        <v>0.30813115326857637</v>
      </c>
      <c r="J47" s="49">
        <f t="shared" si="26"/>
        <v>0.30813115326857637</v>
      </c>
      <c r="K47" s="49">
        <f t="shared" si="26"/>
        <v>0.30813115326857637</v>
      </c>
    </row>
    <row r="48" spans="2:11" x14ac:dyDescent="0.2">
      <c r="B48" s="19" t="s">
        <v>41</v>
      </c>
      <c r="C48" s="20"/>
      <c r="D48" s="20"/>
      <c r="E48" s="47"/>
      <c r="F48" s="52">
        <v>0.15</v>
      </c>
      <c r="G48" s="49">
        <f t="shared" si="26"/>
        <v>0.15</v>
      </c>
      <c r="H48" s="49">
        <f t="shared" si="26"/>
        <v>0.15</v>
      </c>
      <c r="I48" s="49">
        <f t="shared" si="26"/>
        <v>0.15</v>
      </c>
      <c r="J48" s="49">
        <f t="shared" si="26"/>
        <v>0.15</v>
      </c>
      <c r="K48" s="49">
        <f t="shared" si="26"/>
        <v>0.15</v>
      </c>
    </row>
    <row r="49" spans="1:13" x14ac:dyDescent="0.2">
      <c r="B49" t="s">
        <v>42</v>
      </c>
      <c r="C49" s="30">
        <f>C18/C15</f>
        <v>0.6892953523238381</v>
      </c>
      <c r="D49" s="30">
        <f>D18/D15</f>
        <v>0.69291075276807612</v>
      </c>
      <c r="E49" s="31">
        <f>E18/E15</f>
        <v>0.62652925038926377</v>
      </c>
      <c r="F49" s="53">
        <f>E49</f>
        <v>0.62652925038926377</v>
      </c>
      <c r="G49" s="49">
        <f t="shared" si="26"/>
        <v>0.62652925038926377</v>
      </c>
      <c r="H49" s="49">
        <f t="shared" si="26"/>
        <v>0.62652925038926377</v>
      </c>
      <c r="I49" s="49">
        <f t="shared" si="26"/>
        <v>0.62652925038926377</v>
      </c>
      <c r="J49" s="49">
        <f t="shared" si="26"/>
        <v>0.62652925038926377</v>
      </c>
      <c r="K49" s="49">
        <f t="shared" si="26"/>
        <v>0.62652925038926377</v>
      </c>
    </row>
    <row r="50" spans="1:13" x14ac:dyDescent="0.2">
      <c r="B50" t="s">
        <v>43</v>
      </c>
      <c r="C50" s="30">
        <f>C23/C15</f>
        <v>0.34662668665667168</v>
      </c>
      <c r="D50" s="30">
        <f>D23/D15</f>
        <v>0.2762131232815635</v>
      </c>
      <c r="E50" s="31">
        <f>E23/E15</f>
        <v>0.36253429228145623</v>
      </c>
      <c r="F50" s="53">
        <f>E50</f>
        <v>0.36253429228145623</v>
      </c>
      <c r="G50" s="49">
        <f t="shared" si="26"/>
        <v>0.36253429228145623</v>
      </c>
      <c r="H50" s="49">
        <f t="shared" si="26"/>
        <v>0.36253429228145623</v>
      </c>
      <c r="I50" s="49">
        <f t="shared" si="26"/>
        <v>0.36253429228145623</v>
      </c>
      <c r="J50" s="49">
        <f t="shared" si="26"/>
        <v>0.36253429228145623</v>
      </c>
      <c r="K50" s="49">
        <f t="shared" si="26"/>
        <v>0.36253429228145623</v>
      </c>
    </row>
    <row r="51" spans="1:13" x14ac:dyDescent="0.2">
      <c r="B51" t="s">
        <v>24</v>
      </c>
      <c r="C51" s="30">
        <f>C27/C15</f>
        <v>0.34266866566716642</v>
      </c>
      <c r="D51" s="30">
        <f>D27/D15</f>
        <v>0.41669762948651262</v>
      </c>
      <c r="E51" s="31">
        <f>E27/E15</f>
        <v>0.26399495810780754</v>
      </c>
      <c r="F51" s="53">
        <f>E51</f>
        <v>0.26399495810780754</v>
      </c>
      <c r="G51" s="49">
        <f t="shared" si="26"/>
        <v>0.26399495810780754</v>
      </c>
      <c r="H51" s="49">
        <f t="shared" si="26"/>
        <v>0.26399495810780754</v>
      </c>
      <c r="I51" s="49">
        <f t="shared" si="26"/>
        <v>0.26399495810780754</v>
      </c>
      <c r="J51" s="49">
        <f t="shared" si="26"/>
        <v>0.26399495810780754</v>
      </c>
      <c r="K51" s="49">
        <f t="shared" si="26"/>
        <v>0.26399495810780754</v>
      </c>
    </row>
    <row r="52" spans="1:13" x14ac:dyDescent="0.2">
      <c r="B52" t="s">
        <v>44</v>
      </c>
      <c r="C52" s="30">
        <f>C37/C36</f>
        <v>1.7464277613971423E-2</v>
      </c>
      <c r="D52" s="30">
        <f>D37/D36</f>
        <v>1.9012171813700834E-2</v>
      </c>
      <c r="E52" s="31">
        <f>E37/E36</f>
        <v>-4.4726142071274816E-2</v>
      </c>
      <c r="F52" s="53">
        <f>E52</f>
        <v>-4.4726142071274816E-2</v>
      </c>
      <c r="G52" s="49">
        <f t="shared" si="26"/>
        <v>-4.4726142071274816E-2</v>
      </c>
      <c r="H52" s="49">
        <f t="shared" si="26"/>
        <v>-4.4726142071274816E-2</v>
      </c>
      <c r="I52" s="49">
        <f t="shared" si="26"/>
        <v>-4.4726142071274816E-2</v>
      </c>
      <c r="J52" s="49">
        <f t="shared" si="26"/>
        <v>-4.4726142071274816E-2</v>
      </c>
      <c r="K52" s="49">
        <f t="shared" si="26"/>
        <v>-4.4726142071274816E-2</v>
      </c>
    </row>
    <row r="55" spans="1:13" ht="20" x14ac:dyDescent="0.25">
      <c r="B55" s="9" t="s">
        <v>45</v>
      </c>
      <c r="C55" s="2"/>
      <c r="D55" s="2"/>
      <c r="E55" s="2"/>
      <c r="F55" s="2"/>
      <c r="G55" s="2"/>
      <c r="H55" s="2"/>
      <c r="I55" s="2"/>
      <c r="J55" s="2"/>
      <c r="K55" s="2"/>
    </row>
    <row r="56" spans="1:13" x14ac:dyDescent="0.2">
      <c r="A56" s="14"/>
      <c r="B56" s="14"/>
      <c r="C56" s="12">
        <f>EOMONTH(D56,-12)</f>
        <v>44196</v>
      </c>
      <c r="D56" s="12">
        <f>EOMONTH(E56,-12)</f>
        <v>44561</v>
      </c>
      <c r="E56" s="13">
        <v>44926</v>
      </c>
      <c r="F56" s="12">
        <f>EOMONTH(E56,12)</f>
        <v>45291</v>
      </c>
      <c r="G56" s="12">
        <f t="shared" ref="G56:K56" si="27">EOMONTH(F56,12)</f>
        <v>45657</v>
      </c>
      <c r="H56" s="12">
        <f t="shared" si="27"/>
        <v>46022</v>
      </c>
      <c r="I56" s="12">
        <f t="shared" si="27"/>
        <v>46387</v>
      </c>
      <c r="J56" s="12">
        <f t="shared" si="27"/>
        <v>46752</v>
      </c>
      <c r="K56" s="12">
        <f t="shared" si="27"/>
        <v>47118</v>
      </c>
      <c r="L56" s="14"/>
      <c r="M56" s="14"/>
    </row>
    <row r="57" spans="1:13" x14ac:dyDescent="0.2">
      <c r="B57" s="40" t="s">
        <v>46</v>
      </c>
      <c r="C57" s="17"/>
      <c r="D57" s="17"/>
      <c r="E57" s="54"/>
      <c r="F57" s="55"/>
      <c r="G57" s="55"/>
      <c r="H57" s="55"/>
      <c r="I57" s="55"/>
      <c r="J57" s="55"/>
      <c r="K57" s="55"/>
    </row>
    <row r="58" spans="1:13" x14ac:dyDescent="0.2">
      <c r="B58" s="56" t="s">
        <v>47</v>
      </c>
      <c r="C58" s="57">
        <v>847</v>
      </c>
      <c r="D58" s="57">
        <v>1990</v>
      </c>
      <c r="E58" s="58">
        <v>3389</v>
      </c>
      <c r="F58" s="57">
        <f ca="1">F158</f>
        <v>2500</v>
      </c>
      <c r="G58" s="17">
        <f ca="1">G158</f>
        <v>2500</v>
      </c>
      <c r="H58" s="17">
        <f ca="1">H158</f>
        <v>2500</v>
      </c>
      <c r="I58" s="17">
        <f t="shared" ref="I58:K58" ca="1" si="28">I158</f>
        <v>2500</v>
      </c>
      <c r="J58" s="17">
        <f t="shared" ca="1" si="28"/>
        <v>2500</v>
      </c>
      <c r="K58" s="17">
        <f t="shared" ca="1" si="28"/>
        <v>6611.4469407421166</v>
      </c>
    </row>
    <row r="59" spans="1:13" x14ac:dyDescent="0.2">
      <c r="B59" s="56" t="s">
        <v>48</v>
      </c>
      <c r="C59" s="57">
        <v>10714</v>
      </c>
      <c r="D59" s="57">
        <v>19218</v>
      </c>
      <c r="E59" s="58">
        <v>9907</v>
      </c>
      <c r="F59" s="57">
        <f>E59</f>
        <v>9907</v>
      </c>
      <c r="G59" s="57">
        <f t="shared" ref="G59:K59" si="29">F59</f>
        <v>9907</v>
      </c>
      <c r="H59" s="57">
        <f t="shared" si="29"/>
        <v>9907</v>
      </c>
      <c r="I59" s="57">
        <f t="shared" si="29"/>
        <v>9907</v>
      </c>
      <c r="J59" s="57">
        <f t="shared" si="29"/>
        <v>9907</v>
      </c>
      <c r="K59" s="57">
        <f t="shared" si="29"/>
        <v>9907</v>
      </c>
    </row>
    <row r="60" spans="1:13" x14ac:dyDescent="0.2">
      <c r="B60" s="56" t="s">
        <v>49</v>
      </c>
      <c r="C60" s="57">
        <v>2429</v>
      </c>
      <c r="D60" s="57">
        <v>4650</v>
      </c>
      <c r="E60" s="58">
        <v>3827</v>
      </c>
      <c r="F60" s="17">
        <f>F99</f>
        <v>5006.217923558841</v>
      </c>
      <c r="G60" s="17">
        <f t="shared" ref="G60:K62" si="30">G99</f>
        <v>6548.7896258588444</v>
      </c>
      <c r="H60" s="17">
        <f t="shared" si="30"/>
        <v>8566.6757257880199</v>
      </c>
      <c r="I60" s="17">
        <f t="shared" si="30"/>
        <v>11206.335396853001</v>
      </c>
      <c r="J60" s="17">
        <f t="shared" si="30"/>
        <v>14659.356446599786</v>
      </c>
      <c r="K60" s="17">
        <f t="shared" si="30"/>
        <v>19176.36085466572</v>
      </c>
    </row>
    <row r="61" spans="1:13" x14ac:dyDescent="0.2">
      <c r="B61" s="56" t="s">
        <v>50</v>
      </c>
      <c r="C61" s="57">
        <v>1826</v>
      </c>
      <c r="D61" s="57">
        <v>2605</v>
      </c>
      <c r="E61" s="58">
        <v>5159</v>
      </c>
      <c r="F61" s="17">
        <f>F100</f>
        <v>6748.6486197125841</v>
      </c>
      <c r="G61" s="17">
        <f t="shared" si="30"/>
        <v>8828.1175019090115</v>
      </c>
      <c r="H61" s="17">
        <f t="shared" si="30"/>
        <v>11548.335528962736</v>
      </c>
      <c r="I61" s="17">
        <f t="shared" si="30"/>
        <v>15106.737473834501</v>
      </c>
      <c r="J61" s="17">
        <f t="shared" si="30"/>
        <v>19761.593913772747</v>
      </c>
      <c r="K61" s="17">
        <f t="shared" si="30"/>
        <v>25850.756636848826</v>
      </c>
    </row>
    <row r="62" spans="1:13" x14ac:dyDescent="0.2">
      <c r="B62" s="56" t="s">
        <v>51</v>
      </c>
      <c r="C62" s="57">
        <v>239</v>
      </c>
      <c r="D62" s="57">
        <v>366</v>
      </c>
      <c r="E62" s="58">
        <v>791</v>
      </c>
      <c r="F62" s="17">
        <f>F101</f>
        <v>1034.7317422354438</v>
      </c>
      <c r="G62" s="17">
        <f t="shared" si="30"/>
        <v>1353.5648272940543</v>
      </c>
      <c r="H62" s="17">
        <f t="shared" si="30"/>
        <v>1770.640318551953</v>
      </c>
      <c r="I62" s="17">
        <f t="shared" si="30"/>
        <v>2316.2297619312058</v>
      </c>
      <c r="J62" s="17">
        <f t="shared" si="30"/>
        <v>3029.9323097100682</v>
      </c>
      <c r="K62" s="17">
        <f t="shared" si="30"/>
        <v>3963.5488466267529</v>
      </c>
    </row>
    <row r="63" spans="1:13" x14ac:dyDescent="0.2">
      <c r="B63" s="26" t="s">
        <v>52</v>
      </c>
      <c r="C63" s="36">
        <f t="shared" ref="C63:E63" si="31">SUM(C58:C62)</f>
        <v>16055</v>
      </c>
      <c r="D63" s="36">
        <f t="shared" si="31"/>
        <v>28829</v>
      </c>
      <c r="E63" s="59">
        <f t="shared" si="31"/>
        <v>23073</v>
      </c>
      <c r="F63" s="36">
        <f t="shared" ref="F63:K63" ca="1" si="32">SUM(F58:F62)</f>
        <v>25196.598285506869</v>
      </c>
      <c r="G63" s="36">
        <f t="shared" ca="1" si="32"/>
        <v>29137.471955061912</v>
      </c>
      <c r="H63" s="36">
        <f t="shared" ca="1" si="32"/>
        <v>34292.651573302712</v>
      </c>
      <c r="I63" s="36">
        <f t="shared" ca="1" si="32"/>
        <v>41036.30263261871</v>
      </c>
      <c r="J63" s="36">
        <f t="shared" ca="1" si="32"/>
        <v>49857.882670082603</v>
      </c>
      <c r="K63" s="36">
        <f t="shared" ca="1" si="32"/>
        <v>65509.113278883415</v>
      </c>
    </row>
    <row r="64" spans="1:13" x14ac:dyDescent="0.2">
      <c r="C64" s="17"/>
      <c r="D64" s="17"/>
      <c r="E64" s="54"/>
      <c r="F64" s="17"/>
      <c r="G64" s="17"/>
      <c r="H64" s="17"/>
      <c r="I64" s="17"/>
      <c r="J64" s="17"/>
      <c r="K64" s="17"/>
    </row>
    <row r="65" spans="2:11" x14ac:dyDescent="0.2">
      <c r="B65" t="s">
        <v>53</v>
      </c>
      <c r="C65" s="57">
        <v>2149</v>
      </c>
      <c r="D65" s="61">
        <v>2778</v>
      </c>
      <c r="E65" s="60">
        <v>3807</v>
      </c>
      <c r="F65" s="17">
        <f>F124</f>
        <v>5476.133058572148</v>
      </c>
      <c r="G65" s="17">
        <f t="shared" ref="G65:K65" si="33">G124</f>
        <v>7499.7802013493583</v>
      </c>
      <c r="H65" s="17">
        <f t="shared" si="33"/>
        <v>9987.178261947689</v>
      </c>
      <c r="I65" s="17">
        <f t="shared" si="33"/>
        <v>13081.223345504724</v>
      </c>
      <c r="J65" s="17">
        <f t="shared" si="33"/>
        <v>16968.842298831678</v>
      </c>
      <c r="K65" s="17">
        <f t="shared" si="33"/>
        <v>21894.559953624557</v>
      </c>
    </row>
    <row r="66" spans="2:11" x14ac:dyDescent="0.2">
      <c r="B66" t="s">
        <v>54</v>
      </c>
      <c r="C66" s="57">
        <v>707</v>
      </c>
      <c r="D66" s="61">
        <v>829</v>
      </c>
      <c r="E66" s="60">
        <v>1038</v>
      </c>
      <c r="F66" s="17"/>
      <c r="G66" s="17"/>
      <c r="H66" s="17"/>
      <c r="I66" s="17"/>
      <c r="J66" s="17"/>
      <c r="K66" s="17"/>
    </row>
    <row r="67" spans="2:11" x14ac:dyDescent="0.2">
      <c r="B67" t="s">
        <v>55</v>
      </c>
      <c r="C67" s="57">
        <v>4193</v>
      </c>
      <c r="D67" s="61">
        <v>4349</v>
      </c>
      <c r="E67" s="60">
        <v>4372</v>
      </c>
      <c r="F67" s="17">
        <f t="shared" ref="F67:K67" si="34">F131</f>
        <v>4372</v>
      </c>
      <c r="G67" s="17">
        <f t="shared" si="34"/>
        <v>4372</v>
      </c>
      <c r="H67" s="17">
        <f t="shared" si="34"/>
        <v>4372</v>
      </c>
      <c r="I67" s="17">
        <f t="shared" si="34"/>
        <v>4372</v>
      </c>
      <c r="J67" s="17">
        <f t="shared" si="34"/>
        <v>4372</v>
      </c>
      <c r="K67" s="17">
        <f t="shared" si="34"/>
        <v>4372</v>
      </c>
    </row>
    <row r="68" spans="2:11" x14ac:dyDescent="0.2">
      <c r="B68" t="s">
        <v>56</v>
      </c>
      <c r="C68" s="57">
        <v>2737</v>
      </c>
      <c r="D68" s="61">
        <v>2339</v>
      </c>
      <c r="E68" s="60">
        <v>1676</v>
      </c>
      <c r="F68" s="17">
        <f t="shared" ref="F68:K68" si="35">F129</f>
        <v>977</v>
      </c>
      <c r="G68" s="17">
        <f t="shared" si="35"/>
        <v>278</v>
      </c>
      <c r="H68" s="17">
        <f t="shared" si="35"/>
        <v>-421</v>
      </c>
      <c r="I68" s="17">
        <f t="shared" si="35"/>
        <v>-1120</v>
      </c>
      <c r="J68" s="17">
        <f t="shared" si="35"/>
        <v>-1819</v>
      </c>
      <c r="K68" s="17">
        <f t="shared" si="35"/>
        <v>-2518</v>
      </c>
    </row>
    <row r="69" spans="2:11" x14ac:dyDescent="0.2">
      <c r="B69" t="s">
        <v>57</v>
      </c>
      <c r="C69" s="57">
        <v>806</v>
      </c>
      <c r="D69" s="61">
        <v>1222</v>
      </c>
      <c r="E69" s="60">
        <v>3396</v>
      </c>
      <c r="F69" s="57">
        <f>E69</f>
        <v>3396</v>
      </c>
      <c r="G69" s="57">
        <f t="shared" ref="G69:K70" si="36">F69</f>
        <v>3396</v>
      </c>
      <c r="H69" s="57">
        <f t="shared" si="36"/>
        <v>3396</v>
      </c>
      <c r="I69" s="57">
        <f t="shared" si="36"/>
        <v>3396</v>
      </c>
      <c r="J69" s="57">
        <f t="shared" si="36"/>
        <v>3396</v>
      </c>
      <c r="K69" s="57">
        <f t="shared" si="36"/>
        <v>3396</v>
      </c>
    </row>
    <row r="70" spans="2:11" x14ac:dyDescent="0.2">
      <c r="B70" t="s">
        <v>58</v>
      </c>
      <c r="C70" s="57">
        <v>2144</v>
      </c>
      <c r="D70" s="61">
        <v>3841</v>
      </c>
      <c r="E70" s="60">
        <v>3820</v>
      </c>
      <c r="F70" s="57">
        <f>E70</f>
        <v>3820</v>
      </c>
      <c r="G70" s="57">
        <f t="shared" si="36"/>
        <v>3820</v>
      </c>
      <c r="H70" s="57">
        <f t="shared" si="36"/>
        <v>3820</v>
      </c>
      <c r="I70" s="57">
        <f t="shared" si="36"/>
        <v>3820</v>
      </c>
      <c r="J70" s="57">
        <f t="shared" si="36"/>
        <v>3820</v>
      </c>
      <c r="K70" s="57">
        <f t="shared" si="36"/>
        <v>3820</v>
      </c>
    </row>
    <row r="71" spans="2:11" x14ac:dyDescent="0.2">
      <c r="B71" s="26" t="s">
        <v>59</v>
      </c>
      <c r="C71" s="36">
        <f t="shared" ref="C71:E71" si="37">SUM(C65:C70)+C63</f>
        <v>28791</v>
      </c>
      <c r="D71" s="36">
        <f t="shared" si="37"/>
        <v>44187</v>
      </c>
      <c r="E71" s="59">
        <f t="shared" si="37"/>
        <v>41182</v>
      </c>
      <c r="F71" s="36">
        <f t="shared" ref="F71:K71" ca="1" si="38">SUM(F65:F70)+F63</f>
        <v>43237.731344079017</v>
      </c>
      <c r="G71" s="36">
        <f t="shared" ca="1" si="38"/>
        <v>48503.252156411269</v>
      </c>
      <c r="H71" s="36">
        <f t="shared" ca="1" si="38"/>
        <v>55446.829835250399</v>
      </c>
      <c r="I71" s="36">
        <f t="shared" ca="1" si="38"/>
        <v>64585.525978123434</v>
      </c>
      <c r="J71" s="36">
        <f t="shared" ca="1" si="38"/>
        <v>76595.724968914277</v>
      </c>
      <c r="K71" s="36">
        <f t="shared" ca="1" si="38"/>
        <v>96473.673232507979</v>
      </c>
    </row>
    <row r="72" spans="2:11" x14ac:dyDescent="0.2">
      <c r="C72" s="17"/>
      <c r="D72" s="17"/>
      <c r="E72" s="54"/>
      <c r="F72" s="17"/>
      <c r="G72" s="17"/>
      <c r="H72" s="17"/>
      <c r="I72" s="17"/>
      <c r="J72" s="17"/>
      <c r="K72" s="17"/>
    </row>
    <row r="73" spans="2:11" x14ac:dyDescent="0.2">
      <c r="B73" s="40" t="s">
        <v>60</v>
      </c>
      <c r="C73" s="17"/>
      <c r="D73" s="17"/>
      <c r="E73" s="54"/>
      <c r="F73" s="17"/>
      <c r="G73" s="17"/>
      <c r="H73" s="17"/>
      <c r="I73" s="17"/>
      <c r="J73" s="17"/>
      <c r="K73" s="17"/>
    </row>
    <row r="74" spans="2:11" x14ac:dyDescent="0.2">
      <c r="B74" t="s">
        <v>61</v>
      </c>
      <c r="C74" s="61">
        <v>1201</v>
      </c>
      <c r="D74" s="61">
        <v>1783</v>
      </c>
      <c r="E74" s="60">
        <v>1193</v>
      </c>
      <c r="F74" s="17">
        <f>F104</f>
        <v>1560.6004658494114</v>
      </c>
      <c r="G74" s="17">
        <f t="shared" ref="G74:K75" si="39">G104</f>
        <v>2041.4700871830682</v>
      </c>
      <c r="H74" s="17">
        <f t="shared" si="39"/>
        <v>2670.510619510088</v>
      </c>
      <c r="I74" s="17">
        <f t="shared" si="39"/>
        <v>3493.378136515712</v>
      </c>
      <c r="J74" s="17">
        <f t="shared" si="39"/>
        <v>4569.7967705235287</v>
      </c>
      <c r="K74" s="17">
        <f t="shared" si="39"/>
        <v>5977.8935196279599</v>
      </c>
    </row>
    <row r="75" spans="2:11" x14ac:dyDescent="0.2">
      <c r="B75" s="62" t="s">
        <v>62</v>
      </c>
      <c r="C75" s="61">
        <v>1725</v>
      </c>
      <c r="D75" s="61">
        <v>2552</v>
      </c>
      <c r="E75" s="60">
        <v>4120</v>
      </c>
      <c r="F75" s="17">
        <f>F105</f>
        <v>5389.5003514665341</v>
      </c>
      <c r="G75" s="17">
        <f t="shared" si="39"/>
        <v>7050.1733103053157</v>
      </c>
      <c r="H75" s="17">
        <f t="shared" si="39"/>
        <v>9222.5513431530289</v>
      </c>
      <c r="I75" s="17">
        <f t="shared" si="39"/>
        <v>12064.306724597429</v>
      </c>
      <c r="J75" s="17">
        <f t="shared" si="39"/>
        <v>15781.695469033477</v>
      </c>
      <c r="K75" s="17">
        <f t="shared" si="39"/>
        <v>20644.52749444023</v>
      </c>
    </row>
    <row r="76" spans="2:11" x14ac:dyDescent="0.2">
      <c r="B76" s="62" t="s">
        <v>63</v>
      </c>
      <c r="C76" s="61">
        <v>999</v>
      </c>
      <c r="D76" s="61">
        <v>0</v>
      </c>
      <c r="E76" s="60">
        <v>1250</v>
      </c>
      <c r="F76" s="57">
        <f>E76</f>
        <v>1250</v>
      </c>
      <c r="G76" s="57">
        <f t="shared" ref="G76:K76" si="40">F76</f>
        <v>1250</v>
      </c>
      <c r="H76" s="57">
        <f t="shared" si="40"/>
        <v>1250</v>
      </c>
      <c r="I76" s="57">
        <f t="shared" si="40"/>
        <v>1250</v>
      </c>
      <c r="J76" s="57">
        <f t="shared" si="40"/>
        <v>1250</v>
      </c>
      <c r="K76" s="57">
        <f t="shared" si="40"/>
        <v>1250</v>
      </c>
    </row>
    <row r="77" spans="2:11" x14ac:dyDescent="0.2">
      <c r="B77" s="63" t="s">
        <v>64</v>
      </c>
      <c r="C77" s="64">
        <f t="shared" ref="C77:K77" si="41">SUM(C74:C76)</f>
        <v>3925</v>
      </c>
      <c r="D77" s="64">
        <f t="shared" si="41"/>
        <v>4335</v>
      </c>
      <c r="E77" s="65">
        <f t="shared" si="41"/>
        <v>6563</v>
      </c>
      <c r="F77" s="64">
        <f t="shared" si="41"/>
        <v>8200.1008173159462</v>
      </c>
      <c r="G77" s="64">
        <f t="shared" si="41"/>
        <v>10341.643397488384</v>
      </c>
      <c r="H77" s="64">
        <f t="shared" si="41"/>
        <v>13143.061962663116</v>
      </c>
      <c r="I77" s="64">
        <f t="shared" si="41"/>
        <v>16807.684861113143</v>
      </c>
      <c r="J77" s="64">
        <f t="shared" si="41"/>
        <v>21601.492239557007</v>
      </c>
      <c r="K77" s="64">
        <f t="shared" si="41"/>
        <v>27872.42101406819</v>
      </c>
    </row>
    <row r="78" spans="2:11" x14ac:dyDescent="0.2">
      <c r="C78" s="17"/>
      <c r="D78" s="17"/>
      <c r="E78" s="54"/>
      <c r="F78" s="17"/>
      <c r="G78" s="17"/>
      <c r="H78" s="17"/>
      <c r="I78" s="17"/>
      <c r="J78" s="17"/>
      <c r="K78" s="17"/>
    </row>
    <row r="79" spans="2:11" x14ac:dyDescent="0.2">
      <c r="B79" s="62" t="s">
        <v>65</v>
      </c>
      <c r="C79" s="61">
        <v>5964</v>
      </c>
      <c r="D79" s="61">
        <v>10946</v>
      </c>
      <c r="E79" s="60">
        <v>9703</v>
      </c>
      <c r="F79" s="57">
        <f t="shared" ref="F79:K79" si="42">F192</f>
        <v>9703</v>
      </c>
      <c r="G79" s="57">
        <f t="shared" si="42"/>
        <v>9703</v>
      </c>
      <c r="H79" s="57">
        <f t="shared" si="42"/>
        <v>9703</v>
      </c>
      <c r="I79" s="57">
        <f t="shared" si="42"/>
        <v>9703</v>
      </c>
      <c r="J79" s="57">
        <f t="shared" si="42"/>
        <v>9703</v>
      </c>
      <c r="K79" s="57">
        <f t="shared" si="42"/>
        <v>9703</v>
      </c>
    </row>
    <row r="80" spans="2:11" x14ac:dyDescent="0.2">
      <c r="B80" s="62" t="s">
        <v>66</v>
      </c>
      <c r="C80" s="61">
        <v>634</v>
      </c>
      <c r="D80" s="61">
        <v>741</v>
      </c>
      <c r="E80" s="60">
        <v>902</v>
      </c>
      <c r="F80" s="57">
        <f>E80</f>
        <v>902</v>
      </c>
      <c r="G80" s="57">
        <f t="shared" ref="G80:K81" si="43">F80</f>
        <v>902</v>
      </c>
      <c r="H80" s="57">
        <f t="shared" si="43"/>
        <v>902</v>
      </c>
      <c r="I80" s="57">
        <f t="shared" si="43"/>
        <v>902</v>
      </c>
      <c r="J80" s="57">
        <f t="shared" si="43"/>
        <v>902</v>
      </c>
      <c r="K80" s="57">
        <f t="shared" si="43"/>
        <v>902</v>
      </c>
    </row>
    <row r="81" spans="2:11" x14ac:dyDescent="0.2">
      <c r="B81" s="62" t="s">
        <v>67</v>
      </c>
      <c r="C81" s="61">
        <v>1375</v>
      </c>
      <c r="D81" s="61">
        <v>1553</v>
      </c>
      <c r="E81" s="60">
        <v>1913</v>
      </c>
      <c r="F81" s="57">
        <f>E81</f>
        <v>1913</v>
      </c>
      <c r="G81" s="57">
        <f t="shared" si="43"/>
        <v>1913</v>
      </c>
      <c r="H81" s="57">
        <f t="shared" si="43"/>
        <v>1913</v>
      </c>
      <c r="I81" s="57">
        <f t="shared" si="43"/>
        <v>1913</v>
      </c>
      <c r="J81" s="57">
        <f t="shared" si="43"/>
        <v>1913</v>
      </c>
      <c r="K81" s="57">
        <f t="shared" si="43"/>
        <v>1913</v>
      </c>
    </row>
    <row r="82" spans="2:11" x14ac:dyDescent="0.2">
      <c r="B82" s="63" t="s">
        <v>68</v>
      </c>
      <c r="C82" s="36">
        <f>SUM(C77,C79:C81)</f>
        <v>11898</v>
      </c>
      <c r="D82" s="36">
        <f>SUM(D77,D79:D81)</f>
        <v>17575</v>
      </c>
      <c r="E82" s="59">
        <f>SUM(E77,E79:E81)</f>
        <v>19081</v>
      </c>
      <c r="F82" s="36">
        <f t="shared" ref="F82:K82" si="44">SUM(F74:F81)</f>
        <v>28918.201634631892</v>
      </c>
      <c r="G82" s="36">
        <f t="shared" si="44"/>
        <v>33201.286794976768</v>
      </c>
      <c r="H82" s="36">
        <f t="shared" si="44"/>
        <v>38804.123925326232</v>
      </c>
      <c r="I82" s="36">
        <f t="shared" si="44"/>
        <v>46133.369722226285</v>
      </c>
      <c r="J82" s="36">
        <f t="shared" si="44"/>
        <v>55720.984479114013</v>
      </c>
      <c r="K82" s="36">
        <f t="shared" si="44"/>
        <v>68262.84202813638</v>
      </c>
    </row>
    <row r="83" spans="2:11" x14ac:dyDescent="0.2">
      <c r="C83" s="17"/>
      <c r="D83" s="17"/>
      <c r="E83" s="54"/>
    </row>
    <row r="84" spans="2:11" x14ac:dyDescent="0.2">
      <c r="B84" s="66" t="s">
        <v>69</v>
      </c>
      <c r="C84" s="17"/>
      <c r="D84" s="17"/>
      <c r="E84" s="54"/>
    </row>
    <row r="85" spans="2:11" x14ac:dyDescent="0.2">
      <c r="B85" t="s">
        <v>70</v>
      </c>
      <c r="C85" s="57">
        <v>0</v>
      </c>
      <c r="D85" s="57">
        <v>0</v>
      </c>
      <c r="E85" s="58">
        <v>0</v>
      </c>
      <c r="F85" s="55"/>
      <c r="G85" s="55"/>
      <c r="H85" s="55"/>
      <c r="I85" s="55"/>
      <c r="J85" s="55"/>
      <c r="K85" s="55"/>
    </row>
    <row r="86" spans="2:11" x14ac:dyDescent="0.2">
      <c r="B86" t="s">
        <v>71</v>
      </c>
      <c r="C86" s="57">
        <v>1</v>
      </c>
      <c r="D86" s="57">
        <v>3</v>
      </c>
      <c r="E86" s="58">
        <v>2</v>
      </c>
      <c r="F86" s="55"/>
      <c r="G86" s="55"/>
      <c r="H86" s="55"/>
      <c r="I86" s="55"/>
      <c r="J86" s="55"/>
      <c r="K86" s="55"/>
    </row>
    <row r="87" spans="2:11" x14ac:dyDescent="0.2">
      <c r="B87" s="62" t="s">
        <v>72</v>
      </c>
      <c r="C87" s="61">
        <v>8721</v>
      </c>
      <c r="D87" s="61">
        <v>10385</v>
      </c>
      <c r="E87" s="60">
        <v>11971</v>
      </c>
      <c r="F87" s="55"/>
      <c r="G87" s="55"/>
      <c r="H87" s="55"/>
      <c r="I87" s="55"/>
      <c r="J87" s="55"/>
      <c r="K87" s="55"/>
    </row>
    <row r="88" spans="2:11" x14ac:dyDescent="0.2">
      <c r="B88" t="s">
        <v>73</v>
      </c>
      <c r="C88" s="57">
        <v>-10756</v>
      </c>
      <c r="D88" s="57">
        <v>0</v>
      </c>
      <c r="E88" s="58"/>
      <c r="F88" s="55"/>
      <c r="G88" s="55"/>
      <c r="H88" s="55"/>
      <c r="I88" s="55"/>
      <c r="J88" s="55"/>
      <c r="K88" s="55"/>
    </row>
    <row r="89" spans="2:11" x14ac:dyDescent="0.2">
      <c r="B89" t="s">
        <v>74</v>
      </c>
      <c r="C89" s="57">
        <v>19</v>
      </c>
      <c r="D89" s="57">
        <v>-11</v>
      </c>
      <c r="E89" s="58">
        <v>-43</v>
      </c>
      <c r="F89" s="55"/>
      <c r="G89" s="55"/>
      <c r="H89" s="55"/>
      <c r="I89" s="55"/>
      <c r="J89" s="55"/>
      <c r="K89" s="55"/>
    </row>
    <row r="90" spans="2:11" x14ac:dyDescent="0.2">
      <c r="B90" s="62" t="s">
        <v>75</v>
      </c>
      <c r="C90" s="61">
        <v>18908</v>
      </c>
      <c r="D90" s="61">
        <v>16235</v>
      </c>
      <c r="E90" s="60">
        <v>10171</v>
      </c>
      <c r="F90" s="55"/>
      <c r="G90" s="55"/>
      <c r="H90" s="55"/>
      <c r="I90" s="55"/>
      <c r="J90" s="55"/>
      <c r="K90" s="55"/>
    </row>
    <row r="91" spans="2:11" x14ac:dyDescent="0.2">
      <c r="B91" s="63" t="s">
        <v>76</v>
      </c>
      <c r="C91" s="67">
        <f t="shared" ref="C91:K91" si="45">C71-C82</f>
        <v>16893</v>
      </c>
      <c r="D91" s="67">
        <f t="shared" si="45"/>
        <v>26612</v>
      </c>
      <c r="E91" s="68">
        <f t="shared" si="45"/>
        <v>22101</v>
      </c>
      <c r="F91" s="69">
        <f t="shared" ca="1" si="45"/>
        <v>14319.529709447124</v>
      </c>
      <c r="G91" s="69">
        <f t="shared" ca="1" si="45"/>
        <v>15301.965361434501</v>
      </c>
      <c r="H91" s="69">
        <f t="shared" ca="1" si="45"/>
        <v>16642.705909924167</v>
      </c>
      <c r="I91" s="69">
        <f t="shared" ca="1" si="45"/>
        <v>18452.156255897149</v>
      </c>
      <c r="J91" s="69">
        <f t="shared" ca="1" si="45"/>
        <v>20874.740489800264</v>
      </c>
      <c r="K91" s="69">
        <f t="shared" ca="1" si="45"/>
        <v>28210.8312043716</v>
      </c>
    </row>
    <row r="92" spans="2:11" x14ac:dyDescent="0.2">
      <c r="B92" s="63" t="s">
        <v>77</v>
      </c>
      <c r="C92" s="36">
        <f t="shared" ref="C92" si="46">SUM(C91,C82)</f>
        <v>28791</v>
      </c>
      <c r="D92" s="36">
        <f>SUM(D91,D82)</f>
        <v>44187</v>
      </c>
      <c r="E92" s="59">
        <f>SUM(E91,E82)</f>
        <v>41182</v>
      </c>
      <c r="F92" s="70">
        <f t="shared" ref="F92:K92" ca="1" si="47">SUM(F91,F82)</f>
        <v>43237.731344079017</v>
      </c>
      <c r="G92" s="70">
        <f t="shared" ca="1" si="47"/>
        <v>48503.252156411269</v>
      </c>
      <c r="H92" s="70">
        <f t="shared" ca="1" si="47"/>
        <v>55446.829835250399</v>
      </c>
      <c r="I92" s="70">
        <f t="shared" ca="1" si="47"/>
        <v>64585.525978123434</v>
      </c>
      <c r="J92" s="70">
        <f t="shared" ca="1" si="47"/>
        <v>76595.724968914277</v>
      </c>
      <c r="K92" s="70">
        <f t="shared" ca="1" si="47"/>
        <v>96473.673232507979</v>
      </c>
    </row>
    <row r="93" spans="2:11" x14ac:dyDescent="0.2">
      <c r="E93" s="32"/>
    </row>
    <row r="94" spans="2:11" x14ac:dyDescent="0.2">
      <c r="B94" s="26" t="s">
        <v>78</v>
      </c>
      <c r="C94" s="168">
        <f t="shared" ref="C94:K94" si="48">C71-C92</f>
        <v>0</v>
      </c>
      <c r="D94" s="168">
        <f t="shared" si="48"/>
        <v>0</v>
      </c>
      <c r="E94" s="169">
        <f t="shared" si="48"/>
        <v>0</v>
      </c>
      <c r="F94" s="168">
        <f t="shared" ca="1" si="48"/>
        <v>0</v>
      </c>
      <c r="G94" s="168">
        <f t="shared" ca="1" si="48"/>
        <v>0</v>
      </c>
      <c r="H94" s="168">
        <f t="shared" ca="1" si="48"/>
        <v>0</v>
      </c>
      <c r="I94" s="168">
        <f t="shared" ca="1" si="48"/>
        <v>0</v>
      </c>
      <c r="J94" s="168">
        <f t="shared" ca="1" si="48"/>
        <v>0</v>
      </c>
      <c r="K94" s="168">
        <f t="shared" ca="1" si="48"/>
        <v>0</v>
      </c>
    </row>
    <row r="96" spans="2:11" ht="20" x14ac:dyDescent="0.25">
      <c r="B96" s="9" t="s">
        <v>79</v>
      </c>
      <c r="C96" s="73"/>
      <c r="D96" s="74"/>
      <c r="E96" s="74"/>
      <c r="F96" s="74"/>
      <c r="G96" s="74"/>
      <c r="H96" s="74"/>
      <c r="I96" s="74"/>
      <c r="J96" s="74"/>
      <c r="K96" s="74"/>
    </row>
    <row r="97" spans="1:13" x14ac:dyDescent="0.2">
      <c r="A97" s="14"/>
      <c r="B97" s="14"/>
      <c r="C97" s="12">
        <f>EOMONTH(D97,-12)</f>
        <v>44196</v>
      </c>
      <c r="D97" s="12">
        <f>EOMONTH(E97,-12)</f>
        <v>44561</v>
      </c>
      <c r="E97" s="13">
        <v>44926</v>
      </c>
      <c r="F97" s="12">
        <f>EOMONTH(E97,12)</f>
        <v>45291</v>
      </c>
      <c r="G97" s="12">
        <f t="shared" ref="G97:K97" si="49">EOMONTH(F97,12)</f>
        <v>45657</v>
      </c>
      <c r="H97" s="12">
        <f t="shared" si="49"/>
        <v>46022</v>
      </c>
      <c r="I97" s="12">
        <f t="shared" si="49"/>
        <v>46387</v>
      </c>
      <c r="J97" s="12">
        <f t="shared" si="49"/>
        <v>46752</v>
      </c>
      <c r="K97" s="12">
        <f t="shared" si="49"/>
        <v>47118</v>
      </c>
      <c r="L97" s="14"/>
      <c r="M97" s="14"/>
    </row>
    <row r="98" spans="1:13" x14ac:dyDescent="0.2">
      <c r="B98" s="40" t="s">
        <v>80</v>
      </c>
      <c r="E98" s="32"/>
    </row>
    <row r="99" spans="1:13" x14ac:dyDescent="0.2">
      <c r="B99" s="75" t="s">
        <v>49</v>
      </c>
      <c r="C99" s="55">
        <f>C60</f>
        <v>2429</v>
      </c>
      <c r="D99" s="55">
        <f t="shared" ref="D99:E101" si="50">D60</f>
        <v>4650</v>
      </c>
      <c r="E99" s="76">
        <f t="shared" si="50"/>
        <v>3827</v>
      </c>
      <c r="F99" s="55">
        <f t="shared" ref="F99:K99" si="51">F112/365*F15</f>
        <v>5006.217923558841</v>
      </c>
      <c r="G99" s="55">
        <f t="shared" si="51"/>
        <v>6548.7896258588444</v>
      </c>
      <c r="H99" s="55">
        <f t="shared" si="51"/>
        <v>8566.6757257880199</v>
      </c>
      <c r="I99" s="55">
        <f t="shared" si="51"/>
        <v>11206.335396853001</v>
      </c>
      <c r="J99" s="55">
        <f t="shared" si="51"/>
        <v>14659.356446599786</v>
      </c>
      <c r="K99" s="55">
        <f t="shared" si="51"/>
        <v>19176.36085466572</v>
      </c>
    </row>
    <row r="100" spans="1:13" x14ac:dyDescent="0.2">
      <c r="B100" s="75" t="s">
        <v>50</v>
      </c>
      <c r="C100" s="55">
        <f>C61</f>
        <v>1826</v>
      </c>
      <c r="D100" s="55">
        <f t="shared" si="50"/>
        <v>2605</v>
      </c>
      <c r="E100" s="76">
        <f t="shared" si="50"/>
        <v>5159</v>
      </c>
      <c r="F100" s="55">
        <f t="shared" ref="F100:K100" si="52">F17/F113</f>
        <v>6748.6486197125841</v>
      </c>
      <c r="G100" s="55">
        <f t="shared" si="52"/>
        <v>8828.1175019090115</v>
      </c>
      <c r="H100" s="55">
        <f t="shared" si="52"/>
        <v>11548.335528962736</v>
      </c>
      <c r="I100" s="55">
        <f t="shared" si="52"/>
        <v>15106.737473834501</v>
      </c>
      <c r="J100" s="55">
        <f t="shared" si="52"/>
        <v>19761.593913772747</v>
      </c>
      <c r="K100" s="55">
        <f t="shared" si="52"/>
        <v>25850.756636848826</v>
      </c>
    </row>
    <row r="101" spans="1:13" x14ac:dyDescent="0.2">
      <c r="B101" s="75" t="s">
        <v>81</v>
      </c>
      <c r="C101" s="55">
        <f>C62</f>
        <v>239</v>
      </c>
      <c r="D101" s="55">
        <f t="shared" si="50"/>
        <v>366</v>
      </c>
      <c r="E101" s="77">
        <f t="shared" si="50"/>
        <v>791</v>
      </c>
      <c r="F101" s="55">
        <f t="shared" ref="F101:K101" si="53">F15*F114</f>
        <v>1034.7317422354438</v>
      </c>
      <c r="G101" s="55">
        <f t="shared" si="53"/>
        <v>1353.5648272940543</v>
      </c>
      <c r="H101" s="55">
        <f t="shared" si="53"/>
        <v>1770.640318551953</v>
      </c>
      <c r="I101" s="55">
        <f t="shared" si="53"/>
        <v>2316.2297619312058</v>
      </c>
      <c r="J101" s="55">
        <f t="shared" si="53"/>
        <v>3029.9323097100682</v>
      </c>
      <c r="K101" s="55">
        <f t="shared" si="53"/>
        <v>3963.5488466267529</v>
      </c>
    </row>
    <row r="102" spans="1:13" x14ac:dyDescent="0.2">
      <c r="B102" s="75" t="s">
        <v>82</v>
      </c>
      <c r="C102" s="78">
        <f>SUM(C99:C101)</f>
        <v>4494</v>
      </c>
      <c r="D102" s="78">
        <f t="shared" ref="D102:K102" si="54">SUM(D99:D101)</f>
        <v>7621</v>
      </c>
      <c r="E102" s="79">
        <f t="shared" si="54"/>
        <v>9777</v>
      </c>
      <c r="F102" s="78">
        <f t="shared" si="54"/>
        <v>12789.598285506871</v>
      </c>
      <c r="G102" s="78">
        <f t="shared" si="54"/>
        <v>16730.471955061912</v>
      </c>
      <c r="H102" s="78">
        <f t="shared" si="54"/>
        <v>21885.651573302708</v>
      </c>
      <c r="I102" s="78">
        <f t="shared" si="54"/>
        <v>28629.302632618706</v>
      </c>
      <c r="J102" s="78">
        <f t="shared" si="54"/>
        <v>37450.882670082603</v>
      </c>
      <c r="K102" s="78">
        <f t="shared" si="54"/>
        <v>48990.666338141302</v>
      </c>
    </row>
    <row r="103" spans="1:13" x14ac:dyDescent="0.2">
      <c r="B103" s="75"/>
      <c r="E103" s="32"/>
    </row>
    <row r="104" spans="1:13" x14ac:dyDescent="0.2">
      <c r="B104" s="75" t="s">
        <v>61</v>
      </c>
      <c r="C104" s="55">
        <f>C74</f>
        <v>1201</v>
      </c>
      <c r="D104" s="55">
        <f t="shared" ref="D104:E104" si="55">D74</f>
        <v>1783</v>
      </c>
      <c r="E104" s="76">
        <f t="shared" si="55"/>
        <v>1193</v>
      </c>
      <c r="F104" s="55">
        <f t="shared" ref="F104:K104" si="56">F116/365*F17</f>
        <v>1560.6004658494114</v>
      </c>
      <c r="G104" s="55">
        <f t="shared" si="56"/>
        <v>2041.4700871830682</v>
      </c>
      <c r="H104" s="55">
        <f t="shared" si="56"/>
        <v>2670.510619510088</v>
      </c>
      <c r="I104" s="55">
        <f t="shared" si="56"/>
        <v>3493.378136515712</v>
      </c>
      <c r="J104" s="55">
        <f t="shared" si="56"/>
        <v>4569.7967705235287</v>
      </c>
      <c r="K104" s="55">
        <f t="shared" si="56"/>
        <v>5977.8935196279599</v>
      </c>
    </row>
    <row r="105" spans="1:13" x14ac:dyDescent="0.2">
      <c r="B105" s="75" t="s">
        <v>83</v>
      </c>
      <c r="C105" s="55">
        <f t="shared" ref="C105:E105" si="57">C75</f>
        <v>1725</v>
      </c>
      <c r="D105" s="55">
        <f t="shared" si="57"/>
        <v>2552</v>
      </c>
      <c r="E105" s="76">
        <f t="shared" si="57"/>
        <v>4120</v>
      </c>
      <c r="F105" s="55">
        <f t="shared" ref="F105:K105" si="58">F17*F117</f>
        <v>5389.5003514665341</v>
      </c>
      <c r="G105" s="55">
        <f t="shared" si="58"/>
        <v>7050.1733103053157</v>
      </c>
      <c r="H105" s="55">
        <f t="shared" si="58"/>
        <v>9222.5513431530289</v>
      </c>
      <c r="I105" s="55">
        <f t="shared" si="58"/>
        <v>12064.306724597429</v>
      </c>
      <c r="J105" s="55">
        <f t="shared" si="58"/>
        <v>15781.695469033477</v>
      </c>
      <c r="K105" s="55">
        <f t="shared" si="58"/>
        <v>20644.52749444023</v>
      </c>
    </row>
    <row r="106" spans="1:13" x14ac:dyDescent="0.2">
      <c r="B106" s="75" t="s">
        <v>84</v>
      </c>
      <c r="C106" s="78">
        <f>SUM(C104:C105)</f>
        <v>2926</v>
      </c>
      <c r="D106" s="78">
        <f t="shared" ref="D106:K106" si="59">SUM(D104:D105)</f>
        <v>4335</v>
      </c>
      <c r="E106" s="79">
        <f t="shared" si="59"/>
        <v>5313</v>
      </c>
      <c r="F106" s="78">
        <f t="shared" si="59"/>
        <v>6950.1008173159453</v>
      </c>
      <c r="G106" s="78">
        <f t="shared" si="59"/>
        <v>9091.6433974883839</v>
      </c>
      <c r="H106" s="78">
        <f t="shared" si="59"/>
        <v>11893.061962663116</v>
      </c>
      <c r="I106" s="78">
        <f t="shared" si="59"/>
        <v>15557.684861113141</v>
      </c>
      <c r="J106" s="78">
        <f t="shared" si="59"/>
        <v>20351.492239557007</v>
      </c>
      <c r="K106" s="78">
        <f t="shared" si="59"/>
        <v>26622.42101406819</v>
      </c>
    </row>
    <row r="107" spans="1:13" x14ac:dyDescent="0.2">
      <c r="B107" s="75"/>
      <c r="E107" s="32"/>
    </row>
    <row r="108" spans="1:13" x14ac:dyDescent="0.2">
      <c r="B108" s="75" t="s">
        <v>85</v>
      </c>
      <c r="C108" s="55">
        <f>C102-C106</f>
        <v>1568</v>
      </c>
      <c r="D108" s="55">
        <f t="shared" ref="D108:K108" si="60">D102-D106</f>
        <v>3286</v>
      </c>
      <c r="E108" s="76">
        <f t="shared" si="60"/>
        <v>4464</v>
      </c>
      <c r="F108" s="55">
        <f t="shared" si="60"/>
        <v>5839.4974681909252</v>
      </c>
      <c r="G108" s="55">
        <f t="shared" si="60"/>
        <v>7638.8285575735281</v>
      </c>
      <c r="H108" s="55">
        <f t="shared" si="60"/>
        <v>9992.5896106395921</v>
      </c>
      <c r="I108" s="55">
        <f t="shared" si="60"/>
        <v>13071.617771505566</v>
      </c>
      <c r="J108" s="55">
        <f t="shared" si="60"/>
        <v>17099.390430525596</v>
      </c>
      <c r="K108" s="55">
        <f t="shared" si="60"/>
        <v>22368.245324073112</v>
      </c>
    </row>
    <row r="109" spans="1:13" x14ac:dyDescent="0.2">
      <c r="B109" s="80" t="s">
        <v>86</v>
      </c>
      <c r="C109" s="81"/>
      <c r="D109" s="70">
        <f>D108-C108</f>
        <v>1718</v>
      </c>
      <c r="E109" s="82">
        <f t="shared" ref="E109:K109" si="61">E108-D108</f>
        <v>1178</v>
      </c>
      <c r="F109" s="70">
        <f t="shared" si="61"/>
        <v>1375.4974681909252</v>
      </c>
      <c r="G109" s="70">
        <f t="shared" si="61"/>
        <v>1799.3310893826028</v>
      </c>
      <c r="H109" s="70">
        <f t="shared" si="61"/>
        <v>2353.7610530660641</v>
      </c>
      <c r="I109" s="70">
        <f t="shared" si="61"/>
        <v>3079.0281608659734</v>
      </c>
      <c r="J109" s="70">
        <f t="shared" si="61"/>
        <v>4027.7726590200309</v>
      </c>
      <c r="K109" s="70">
        <f t="shared" si="61"/>
        <v>5268.8548935475155</v>
      </c>
    </row>
    <row r="110" spans="1:13" x14ac:dyDescent="0.2">
      <c r="B110" s="75"/>
    </row>
    <row r="111" spans="1:13" x14ac:dyDescent="0.2">
      <c r="B111" s="83" t="s">
        <v>38</v>
      </c>
    </row>
    <row r="112" spans="1:13" x14ac:dyDescent="0.2">
      <c r="B112" s="75" t="s">
        <v>87</v>
      </c>
      <c r="C112" s="84">
        <f>C99/C15*365</f>
        <v>53.168515742128939</v>
      </c>
      <c r="D112" s="84">
        <f>D99/D15*365</f>
        <v>63.061975180203611</v>
      </c>
      <c r="E112" s="85">
        <f>E99/E15*365</f>
        <v>51.785237636242307</v>
      </c>
      <c r="F112" s="170">
        <f>E112</f>
        <v>51.785237636242307</v>
      </c>
      <c r="G112" s="170">
        <f t="shared" ref="G112:K114" si="62">F112</f>
        <v>51.785237636242307</v>
      </c>
      <c r="H112" s="170">
        <f t="shared" si="62"/>
        <v>51.785237636242307</v>
      </c>
      <c r="I112" s="170">
        <f t="shared" si="62"/>
        <v>51.785237636242307</v>
      </c>
      <c r="J112" s="170">
        <f t="shared" si="62"/>
        <v>51.785237636242307</v>
      </c>
      <c r="K112" s="170">
        <f t="shared" si="62"/>
        <v>51.785237636242307</v>
      </c>
    </row>
    <row r="113" spans="2:12" x14ac:dyDescent="0.2">
      <c r="B113" s="75" t="s">
        <v>88</v>
      </c>
      <c r="C113" s="86">
        <f>C17/C100</f>
        <v>2.8373493975903616</v>
      </c>
      <c r="D113" s="86">
        <f>D17/D100</f>
        <v>3.1727447216890594</v>
      </c>
      <c r="E113" s="87">
        <f>E17/E100</f>
        <v>1.9527040124055048</v>
      </c>
      <c r="F113" s="88">
        <f>E113</f>
        <v>1.9527040124055048</v>
      </c>
      <c r="G113" s="88">
        <f t="shared" si="62"/>
        <v>1.9527040124055048</v>
      </c>
      <c r="H113" s="88">
        <f t="shared" si="62"/>
        <v>1.9527040124055048</v>
      </c>
      <c r="I113" s="88">
        <f t="shared" si="62"/>
        <v>1.9527040124055048</v>
      </c>
      <c r="J113" s="88">
        <f t="shared" si="62"/>
        <v>1.9527040124055048</v>
      </c>
      <c r="K113" s="88">
        <f t="shared" si="62"/>
        <v>1.9527040124055048</v>
      </c>
    </row>
    <row r="114" spans="2:12" x14ac:dyDescent="0.2">
      <c r="B114" s="75" t="s">
        <v>89</v>
      </c>
      <c r="C114" s="89">
        <f>C101/C15</f>
        <v>1.4332833583208396E-2</v>
      </c>
      <c r="D114" s="89">
        <f>D101/D15</f>
        <v>1.359887047633202E-2</v>
      </c>
      <c r="E114" s="90">
        <f>E101/E15</f>
        <v>2.9324534737154295E-2</v>
      </c>
      <c r="F114" s="91">
        <f>E114</f>
        <v>2.9324534737154295E-2</v>
      </c>
      <c r="G114" s="91">
        <f t="shared" si="62"/>
        <v>2.9324534737154295E-2</v>
      </c>
      <c r="H114" s="91">
        <f t="shared" si="62"/>
        <v>2.9324534737154295E-2</v>
      </c>
      <c r="I114" s="91">
        <f t="shared" si="62"/>
        <v>2.9324534737154295E-2</v>
      </c>
      <c r="J114" s="91">
        <f t="shared" si="62"/>
        <v>2.9324534737154295E-2</v>
      </c>
      <c r="K114" s="91">
        <f t="shared" si="62"/>
        <v>2.9324534737154295E-2</v>
      </c>
      <c r="L114" s="89"/>
    </row>
    <row r="115" spans="2:12" x14ac:dyDescent="0.2">
      <c r="B115" s="75"/>
      <c r="E115" s="32"/>
    </row>
    <row r="116" spans="2:12" x14ac:dyDescent="0.2">
      <c r="B116" s="75" t="s">
        <v>90</v>
      </c>
      <c r="C116" s="84">
        <f>C104/C17*365</f>
        <v>84.6101138776298</v>
      </c>
      <c r="D116" s="84">
        <f>D104/D17*365</f>
        <v>78.741076830006051</v>
      </c>
      <c r="E116" s="85">
        <f>E104/E17*365</f>
        <v>43.224637681159422</v>
      </c>
      <c r="F116" s="170">
        <f>E116</f>
        <v>43.224637681159422</v>
      </c>
      <c r="G116" s="170">
        <f t="shared" ref="G116:K117" si="63">F116</f>
        <v>43.224637681159422</v>
      </c>
      <c r="H116" s="170">
        <f t="shared" si="63"/>
        <v>43.224637681159422</v>
      </c>
      <c r="I116" s="170">
        <f t="shared" si="63"/>
        <v>43.224637681159422</v>
      </c>
      <c r="J116" s="170">
        <f t="shared" si="63"/>
        <v>43.224637681159422</v>
      </c>
      <c r="K116" s="170">
        <f t="shared" si="63"/>
        <v>43.224637681159422</v>
      </c>
    </row>
    <row r="117" spans="2:12" x14ac:dyDescent="0.2">
      <c r="B117" s="75" t="s">
        <v>91</v>
      </c>
      <c r="C117" s="89">
        <f>C105/C17</f>
        <v>0.33294730746960044</v>
      </c>
      <c r="D117" s="89">
        <f>D105/D17</f>
        <v>0.30877192982456142</v>
      </c>
      <c r="E117" s="90">
        <f>E105/E17</f>
        <v>0.40897359539408379</v>
      </c>
      <c r="F117" s="91">
        <f>E117</f>
        <v>0.40897359539408379</v>
      </c>
      <c r="G117" s="91">
        <f t="shared" si="63"/>
        <v>0.40897359539408379</v>
      </c>
      <c r="H117" s="91">
        <f t="shared" si="63"/>
        <v>0.40897359539408379</v>
      </c>
      <c r="I117" s="91">
        <f t="shared" si="63"/>
        <v>0.40897359539408379</v>
      </c>
      <c r="J117" s="91">
        <f t="shared" si="63"/>
        <v>0.40897359539408379</v>
      </c>
      <c r="K117" s="91">
        <f t="shared" si="63"/>
        <v>0.40897359539408379</v>
      </c>
    </row>
    <row r="119" spans="2:12" ht="20" x14ac:dyDescent="0.25">
      <c r="B119" s="9" t="s">
        <v>92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2:12" x14ac:dyDescent="0.2">
      <c r="C120" s="12">
        <f>EOMONTH(D120,-12)</f>
        <v>44196</v>
      </c>
      <c r="D120" s="12">
        <f>EOMONTH(E120,-12)</f>
        <v>44561</v>
      </c>
      <c r="E120" s="13">
        <v>44926</v>
      </c>
      <c r="F120" s="12">
        <f>EOMONTH(E120,12)</f>
        <v>45291</v>
      </c>
      <c r="G120" s="12">
        <f t="shared" ref="G120:K120" si="64">EOMONTH(F120,12)</f>
        <v>45657</v>
      </c>
      <c r="H120" s="12">
        <f t="shared" si="64"/>
        <v>46022</v>
      </c>
      <c r="I120" s="12">
        <f t="shared" si="64"/>
        <v>46387</v>
      </c>
      <c r="J120" s="12">
        <f t="shared" si="64"/>
        <v>46752</v>
      </c>
      <c r="K120" s="12">
        <f t="shared" si="64"/>
        <v>47118</v>
      </c>
    </row>
    <row r="121" spans="2:12" x14ac:dyDescent="0.2">
      <c r="B121" s="75" t="s">
        <v>93</v>
      </c>
      <c r="C121" s="20"/>
      <c r="D121" s="92"/>
      <c r="E121" s="79">
        <f>D65</f>
        <v>2778</v>
      </c>
      <c r="F121" s="17">
        <f>E124</f>
        <v>3807</v>
      </c>
      <c r="G121" s="17">
        <f t="shared" ref="G121:K121" si="65">F124</f>
        <v>5476.133058572148</v>
      </c>
      <c r="H121" s="17">
        <f t="shared" si="65"/>
        <v>7499.7802013493583</v>
      </c>
      <c r="I121" s="17">
        <f t="shared" si="65"/>
        <v>9987.178261947689</v>
      </c>
      <c r="J121" s="17">
        <f t="shared" si="65"/>
        <v>13081.223345504724</v>
      </c>
      <c r="K121" s="17">
        <f t="shared" si="65"/>
        <v>16968.842298831678</v>
      </c>
    </row>
    <row r="122" spans="2:12" x14ac:dyDescent="0.2">
      <c r="B122" s="75" t="s">
        <v>25</v>
      </c>
      <c r="C122" s="20"/>
      <c r="D122" s="20"/>
      <c r="E122" s="42">
        <f>-E29</f>
        <v>-845</v>
      </c>
      <c r="F122" s="17">
        <f>-F275</f>
        <v>-782.30472265316394</v>
      </c>
      <c r="G122" s="17">
        <f t="shared" ref="G122:K122" si="66">-G275</f>
        <v>-1183.1549891432173</v>
      </c>
      <c r="H122" s="17">
        <f t="shared" si="66"/>
        <v>-1707.519710534867</v>
      </c>
      <c r="I122" s="17">
        <f t="shared" si="66"/>
        <v>-2393.4575382622816</v>
      </c>
      <c r="J122" s="17">
        <f t="shared" si="66"/>
        <v>-3290.7541799178866</v>
      </c>
      <c r="K122" s="17">
        <f t="shared" si="66"/>
        <v>-4464.5358705908538</v>
      </c>
    </row>
    <row r="123" spans="2:12" x14ac:dyDescent="0.2">
      <c r="B123" s="75" t="s">
        <v>94</v>
      </c>
      <c r="C123" s="20"/>
      <c r="D123" s="20"/>
      <c r="E123" s="76">
        <f>E124-SUM(E121:E122)</f>
        <v>1874</v>
      </c>
      <c r="F123" s="17">
        <f t="shared" ref="F123:K123" si="67">F15*F134</f>
        <v>2451.4377812253119</v>
      </c>
      <c r="G123" s="17">
        <f t="shared" si="67"/>
        <v>3206.8021319204272</v>
      </c>
      <c r="H123" s="17">
        <f t="shared" si="67"/>
        <v>4194.9177711331977</v>
      </c>
      <c r="I123" s="17">
        <f t="shared" si="67"/>
        <v>5487.5026218193161</v>
      </c>
      <c r="J123" s="17">
        <f t="shared" si="67"/>
        <v>7178.3731332448397</v>
      </c>
      <c r="K123" s="17">
        <f t="shared" si="67"/>
        <v>9390.2535253837359</v>
      </c>
    </row>
    <row r="124" spans="2:12" x14ac:dyDescent="0.2">
      <c r="B124" s="80" t="s">
        <v>95</v>
      </c>
      <c r="C124" s="81"/>
      <c r="D124" s="93"/>
      <c r="E124" s="82">
        <f>E65</f>
        <v>3807</v>
      </c>
      <c r="F124" s="36">
        <f>SUM(F121:F123)</f>
        <v>5476.133058572148</v>
      </c>
      <c r="G124" s="36">
        <f t="shared" ref="G124:K124" si="68">SUM(G121:G123)</f>
        <v>7499.7802013493583</v>
      </c>
      <c r="H124" s="36">
        <f t="shared" si="68"/>
        <v>9987.178261947689</v>
      </c>
      <c r="I124" s="36">
        <f t="shared" si="68"/>
        <v>13081.223345504724</v>
      </c>
      <c r="J124" s="36">
        <f t="shared" si="68"/>
        <v>16968.842298831678</v>
      </c>
      <c r="K124" s="36">
        <f t="shared" si="68"/>
        <v>21894.559953624557</v>
      </c>
    </row>
    <row r="125" spans="2:12" x14ac:dyDescent="0.2">
      <c r="B125" s="75"/>
      <c r="C125" s="20"/>
      <c r="D125" s="20"/>
      <c r="E125" s="32"/>
      <c r="F125" s="17"/>
      <c r="G125" s="17"/>
      <c r="H125" s="17"/>
      <c r="I125" s="17"/>
      <c r="J125" s="17"/>
      <c r="K125" s="17"/>
    </row>
    <row r="126" spans="2:12" x14ac:dyDescent="0.2">
      <c r="B126" s="75" t="s">
        <v>96</v>
      </c>
      <c r="C126" s="20"/>
      <c r="D126" s="20"/>
      <c r="E126" s="76">
        <f>D68</f>
        <v>2339</v>
      </c>
      <c r="F126" s="17">
        <f>E129</f>
        <v>1676</v>
      </c>
      <c r="G126" s="17">
        <f t="shared" ref="G126:K126" si="69">F129</f>
        <v>977</v>
      </c>
      <c r="H126" s="17">
        <f t="shared" si="69"/>
        <v>278</v>
      </c>
      <c r="I126" s="17">
        <f t="shared" si="69"/>
        <v>-421</v>
      </c>
      <c r="J126" s="17">
        <f t="shared" si="69"/>
        <v>-1120</v>
      </c>
      <c r="K126" s="17">
        <f t="shared" si="69"/>
        <v>-1819</v>
      </c>
    </row>
    <row r="127" spans="2:12" x14ac:dyDescent="0.2">
      <c r="B127" s="75" t="s">
        <v>26</v>
      </c>
      <c r="C127" s="20"/>
      <c r="D127" s="20"/>
      <c r="E127" s="42">
        <f>-E30</f>
        <v>-699</v>
      </c>
      <c r="F127" s="57">
        <f>E127</f>
        <v>-699</v>
      </c>
      <c r="G127" s="57">
        <f t="shared" ref="G127:K127" si="70">F127</f>
        <v>-699</v>
      </c>
      <c r="H127" s="57">
        <f t="shared" si="70"/>
        <v>-699</v>
      </c>
      <c r="I127" s="57">
        <f t="shared" si="70"/>
        <v>-699</v>
      </c>
      <c r="J127" s="57">
        <f t="shared" si="70"/>
        <v>-699</v>
      </c>
      <c r="K127" s="57">
        <f t="shared" si="70"/>
        <v>-699</v>
      </c>
    </row>
    <row r="128" spans="2:12" x14ac:dyDescent="0.2">
      <c r="B128" s="75" t="s">
        <v>97</v>
      </c>
      <c r="C128" s="20"/>
      <c r="D128" s="20"/>
      <c r="E128" s="76">
        <f>E129-SUM(E126:E127)</f>
        <v>36</v>
      </c>
      <c r="F128" s="55">
        <v>0</v>
      </c>
      <c r="G128" s="55">
        <v>0</v>
      </c>
      <c r="H128" s="55">
        <v>0</v>
      </c>
      <c r="I128" s="55">
        <v>0</v>
      </c>
      <c r="J128" s="55">
        <v>0</v>
      </c>
      <c r="K128" s="55">
        <v>0</v>
      </c>
    </row>
    <row r="129" spans="2:11" x14ac:dyDescent="0.2">
      <c r="B129" s="80" t="s">
        <v>98</v>
      </c>
      <c r="C129" s="81"/>
      <c r="D129" s="81"/>
      <c r="E129" s="82">
        <f>E68</f>
        <v>1676</v>
      </c>
      <c r="F129" s="36">
        <f>SUM(F126:F128)</f>
        <v>977</v>
      </c>
      <c r="G129" s="36">
        <f t="shared" ref="G129:K129" si="71">SUM(G126:G128)</f>
        <v>278</v>
      </c>
      <c r="H129" s="36">
        <f t="shared" si="71"/>
        <v>-421</v>
      </c>
      <c r="I129" s="36">
        <f t="shared" si="71"/>
        <v>-1120</v>
      </c>
      <c r="J129" s="36">
        <f t="shared" si="71"/>
        <v>-1819</v>
      </c>
      <c r="K129" s="36">
        <f t="shared" si="71"/>
        <v>-2518</v>
      </c>
    </row>
    <row r="130" spans="2:11" x14ac:dyDescent="0.2">
      <c r="B130" s="75"/>
      <c r="C130" s="20"/>
      <c r="D130" s="20"/>
      <c r="E130" s="32"/>
      <c r="F130" s="17"/>
      <c r="G130" s="17"/>
      <c r="H130" s="17"/>
      <c r="I130" s="17"/>
      <c r="J130" s="17"/>
      <c r="K130" s="17"/>
    </row>
    <row r="131" spans="2:11" x14ac:dyDescent="0.2">
      <c r="B131" s="75" t="s">
        <v>55</v>
      </c>
      <c r="C131" s="20"/>
      <c r="D131" s="20"/>
      <c r="E131" s="76">
        <f>E67</f>
        <v>4372</v>
      </c>
      <c r="F131" s="57">
        <f>E131</f>
        <v>4372</v>
      </c>
      <c r="G131" s="57">
        <f t="shared" ref="G131:K131" si="72">F131</f>
        <v>4372</v>
      </c>
      <c r="H131" s="57">
        <f t="shared" si="72"/>
        <v>4372</v>
      </c>
      <c r="I131" s="57">
        <f t="shared" si="72"/>
        <v>4372</v>
      </c>
      <c r="J131" s="57">
        <f t="shared" si="72"/>
        <v>4372</v>
      </c>
      <c r="K131" s="57">
        <f t="shared" si="72"/>
        <v>4372</v>
      </c>
    </row>
    <row r="132" spans="2:11" x14ac:dyDescent="0.2">
      <c r="B132" s="75"/>
      <c r="C132" s="20"/>
      <c r="D132" s="20"/>
      <c r="F132" s="55"/>
      <c r="G132" s="55"/>
      <c r="H132" s="55"/>
      <c r="I132" s="55"/>
      <c r="J132" s="55"/>
      <c r="K132" s="55"/>
    </row>
    <row r="133" spans="2:11" x14ac:dyDescent="0.2">
      <c r="B133" s="83" t="s">
        <v>38</v>
      </c>
      <c r="C133" s="20"/>
      <c r="D133" s="20"/>
      <c r="F133" s="55"/>
      <c r="G133" s="55"/>
      <c r="H133" s="55"/>
      <c r="I133" s="55"/>
      <c r="J133" s="55"/>
      <c r="K133" s="55"/>
    </row>
    <row r="134" spans="2:11" x14ac:dyDescent="0.2">
      <c r="B134" s="75" t="s">
        <v>99</v>
      </c>
      <c r="C134" s="20"/>
      <c r="D134" s="20"/>
      <c r="E134" s="94">
        <f>E123/E15</f>
        <v>6.9474308593460363E-2</v>
      </c>
      <c r="F134" s="95">
        <f>E134</f>
        <v>6.9474308593460363E-2</v>
      </c>
      <c r="G134" s="95">
        <f t="shared" ref="G134:K135" si="73">F134</f>
        <v>6.9474308593460363E-2</v>
      </c>
      <c r="H134" s="95">
        <f t="shared" si="73"/>
        <v>6.9474308593460363E-2</v>
      </c>
      <c r="I134" s="95">
        <f t="shared" si="73"/>
        <v>6.9474308593460363E-2</v>
      </c>
      <c r="J134" s="95">
        <f t="shared" si="73"/>
        <v>6.9474308593460363E-2</v>
      </c>
      <c r="K134" s="95">
        <f t="shared" si="73"/>
        <v>6.9474308593460363E-2</v>
      </c>
    </row>
    <row r="135" spans="2:11" x14ac:dyDescent="0.2">
      <c r="B135" s="75" t="s">
        <v>100</v>
      </c>
      <c r="C135" s="20"/>
      <c r="D135" s="20"/>
      <c r="E135" s="94">
        <f>-E122/E123</f>
        <v>0.45090715048025615</v>
      </c>
      <c r="F135" s="97">
        <f>E135</f>
        <v>0.45090715048025615</v>
      </c>
      <c r="G135" s="97">
        <f t="shared" si="73"/>
        <v>0.45090715048025615</v>
      </c>
      <c r="H135" s="97">
        <f t="shared" si="73"/>
        <v>0.45090715048025615</v>
      </c>
      <c r="I135" s="97">
        <f t="shared" si="73"/>
        <v>0.45090715048025615</v>
      </c>
      <c r="J135" s="97">
        <f t="shared" si="73"/>
        <v>0.45090715048025615</v>
      </c>
      <c r="K135" s="97">
        <f t="shared" si="73"/>
        <v>0.45090715048025615</v>
      </c>
    </row>
    <row r="137" spans="2:11" ht="20" x14ac:dyDescent="0.25">
      <c r="B137" s="9" t="s">
        <v>101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C138" s="12">
        <f>EOMONTH(D138,-12)</f>
        <v>44196</v>
      </c>
      <c r="D138" s="12">
        <f>EOMONTH(E138,-12)</f>
        <v>44561</v>
      </c>
      <c r="E138" s="13">
        <v>44926</v>
      </c>
      <c r="F138" s="12">
        <f>EOMONTH(E138,12)</f>
        <v>45291</v>
      </c>
      <c r="G138" s="12">
        <f t="shared" ref="G138:K138" si="74">EOMONTH(F138,12)</f>
        <v>45657</v>
      </c>
      <c r="H138" s="12">
        <f t="shared" si="74"/>
        <v>46022</v>
      </c>
      <c r="I138" s="12">
        <f t="shared" si="74"/>
        <v>46387</v>
      </c>
      <c r="J138" s="12">
        <f t="shared" si="74"/>
        <v>46752</v>
      </c>
      <c r="K138" s="12">
        <f t="shared" si="74"/>
        <v>47118</v>
      </c>
    </row>
    <row r="139" spans="2:11" x14ac:dyDescent="0.2">
      <c r="B139" s="75" t="s">
        <v>35</v>
      </c>
      <c r="C139" s="92"/>
      <c r="D139" s="92"/>
      <c r="E139" s="99"/>
      <c r="F139" s="100">
        <f t="shared" ref="F139:K139" ca="1" si="75">F39</f>
        <v>7941.2390510462756</v>
      </c>
      <c r="G139" s="100">
        <f t="shared" ca="1" si="75"/>
        <v>10477.458327549519</v>
      </c>
      <c r="H139" s="100">
        <f t="shared" ca="1" si="75"/>
        <v>13824.853165595321</v>
      </c>
      <c r="I139" s="100">
        <f t="shared" ca="1" si="75"/>
        <v>18236.707106834721</v>
      </c>
      <c r="J139" s="100">
        <f t="shared" ca="1" si="75"/>
        <v>24041.3282175817</v>
      </c>
      <c r="K139" s="100">
        <f t="shared" ca="1" si="75"/>
        <v>31657.3999475499</v>
      </c>
    </row>
    <row r="140" spans="2:11" x14ac:dyDescent="0.2">
      <c r="B140" s="75" t="s">
        <v>25</v>
      </c>
      <c r="C140" s="101"/>
      <c r="D140" s="101"/>
      <c r="E140" s="102"/>
      <c r="F140" s="100">
        <f t="shared" ref="F140:K141" si="76">F29</f>
        <v>782.30472265316394</v>
      </c>
      <c r="G140" s="100">
        <f t="shared" si="76"/>
        <v>1183.1549891432173</v>
      </c>
      <c r="H140" s="100">
        <f t="shared" si="76"/>
        <v>1707.519710534867</v>
      </c>
      <c r="I140" s="100">
        <f t="shared" si="76"/>
        <v>2393.4575382622816</v>
      </c>
      <c r="J140" s="100">
        <f t="shared" si="76"/>
        <v>3290.7541799178866</v>
      </c>
      <c r="K140" s="100">
        <f t="shared" si="76"/>
        <v>4464.5358705908538</v>
      </c>
    </row>
    <row r="141" spans="2:11" x14ac:dyDescent="0.2">
      <c r="B141" s="75" t="s">
        <v>26</v>
      </c>
      <c r="C141" s="92"/>
      <c r="D141" s="92"/>
      <c r="E141" s="103"/>
      <c r="F141" s="100">
        <f t="shared" si="76"/>
        <v>699</v>
      </c>
      <c r="G141" s="100">
        <f t="shared" si="76"/>
        <v>699</v>
      </c>
      <c r="H141" s="100">
        <f t="shared" si="76"/>
        <v>699</v>
      </c>
      <c r="I141" s="100">
        <f t="shared" si="76"/>
        <v>699</v>
      </c>
      <c r="J141" s="100">
        <f t="shared" si="76"/>
        <v>699</v>
      </c>
      <c r="K141" s="100">
        <f t="shared" si="76"/>
        <v>699</v>
      </c>
    </row>
    <row r="142" spans="2:11" x14ac:dyDescent="0.2">
      <c r="B142" s="75" t="s">
        <v>102</v>
      </c>
      <c r="C142" s="101"/>
      <c r="D142" s="101"/>
      <c r="E142" s="102"/>
      <c r="F142" s="17">
        <f>-F109</f>
        <v>-1375.4974681909252</v>
      </c>
      <c r="G142" s="17">
        <f t="shared" ref="G142:K142" si="77">-G109</f>
        <v>-1799.3310893826028</v>
      </c>
      <c r="H142" s="17">
        <f t="shared" si="77"/>
        <v>-2353.7610530660641</v>
      </c>
      <c r="I142" s="17">
        <f t="shared" si="77"/>
        <v>-3079.0281608659734</v>
      </c>
      <c r="J142" s="17">
        <f t="shared" si="77"/>
        <v>-4027.7726590200309</v>
      </c>
      <c r="K142" s="17">
        <f t="shared" si="77"/>
        <v>-5268.8548935475155</v>
      </c>
    </row>
    <row r="143" spans="2:11" x14ac:dyDescent="0.2">
      <c r="B143" s="80" t="s">
        <v>103</v>
      </c>
      <c r="C143" s="104"/>
      <c r="D143" s="104"/>
      <c r="E143" s="105"/>
      <c r="F143" s="106">
        <f ca="1">SUM(F139:F142)</f>
        <v>8047.0463055085138</v>
      </c>
      <c r="G143" s="36">
        <f t="shared" ref="G143:K143" ca="1" si="78">SUM(G139:G142)</f>
        <v>10560.282227310134</v>
      </c>
      <c r="H143" s="36">
        <f t="shared" ca="1" si="78"/>
        <v>13877.611823064124</v>
      </c>
      <c r="I143" s="36">
        <f t="shared" ca="1" si="78"/>
        <v>18250.136484231029</v>
      </c>
      <c r="J143" s="36">
        <f t="shared" ca="1" si="78"/>
        <v>24003.309738479555</v>
      </c>
      <c r="K143" s="36">
        <f t="shared" ca="1" si="78"/>
        <v>31552.080924593236</v>
      </c>
    </row>
    <row r="144" spans="2:11" x14ac:dyDescent="0.2">
      <c r="B144" s="75"/>
      <c r="C144" s="101"/>
      <c r="D144" s="101"/>
      <c r="E144" s="102"/>
      <c r="F144" s="17"/>
      <c r="G144" s="17"/>
      <c r="H144" s="17"/>
      <c r="I144" s="17"/>
      <c r="J144" s="17"/>
      <c r="K144" s="17"/>
    </row>
    <row r="145" spans="2:11" x14ac:dyDescent="0.2">
      <c r="B145" s="75" t="s">
        <v>94</v>
      </c>
      <c r="C145" s="101"/>
      <c r="D145" s="101"/>
      <c r="E145" s="102"/>
      <c r="F145" s="17">
        <f>-F123</f>
        <v>-2451.4377812253119</v>
      </c>
      <c r="G145" s="17">
        <f t="shared" ref="G145:K145" si="79">-G123</f>
        <v>-3206.8021319204272</v>
      </c>
      <c r="H145" s="17">
        <f t="shared" si="79"/>
        <v>-4194.9177711331977</v>
      </c>
      <c r="I145" s="17">
        <f t="shared" si="79"/>
        <v>-5487.5026218193161</v>
      </c>
      <c r="J145" s="17">
        <f t="shared" si="79"/>
        <v>-7178.3731332448397</v>
      </c>
      <c r="K145" s="17">
        <f t="shared" si="79"/>
        <v>-9390.2535253837359</v>
      </c>
    </row>
    <row r="146" spans="2:11" x14ac:dyDescent="0.2">
      <c r="B146" s="80" t="s">
        <v>104</v>
      </c>
      <c r="C146" s="104"/>
      <c r="D146" s="104"/>
      <c r="E146" s="105"/>
      <c r="F146" s="106">
        <f>F145</f>
        <v>-2451.4377812253119</v>
      </c>
      <c r="G146" s="36">
        <f t="shared" ref="G146:K146" si="80">G145</f>
        <v>-3206.8021319204272</v>
      </c>
      <c r="H146" s="36">
        <f t="shared" si="80"/>
        <v>-4194.9177711331977</v>
      </c>
      <c r="I146" s="36">
        <f t="shared" si="80"/>
        <v>-5487.5026218193161</v>
      </c>
      <c r="J146" s="36">
        <f t="shared" si="80"/>
        <v>-7178.3731332448397</v>
      </c>
      <c r="K146" s="36">
        <f t="shared" si="80"/>
        <v>-9390.2535253837359</v>
      </c>
    </row>
    <row r="147" spans="2:11" x14ac:dyDescent="0.2">
      <c r="B147" s="75"/>
      <c r="C147" s="101"/>
      <c r="D147" s="101"/>
      <c r="E147" s="102"/>
      <c r="F147" s="17"/>
      <c r="G147" s="17"/>
      <c r="H147" s="17"/>
      <c r="I147" s="17"/>
      <c r="J147" s="17"/>
      <c r="K147" s="17"/>
    </row>
    <row r="148" spans="2:11" x14ac:dyDescent="0.2">
      <c r="B148" s="75" t="s">
        <v>105</v>
      </c>
      <c r="C148" s="92"/>
      <c r="D148" s="92"/>
      <c r="E148" s="103"/>
      <c r="F148" s="17">
        <f t="shared" ref="F148:K148" ca="1" si="81">F197</f>
        <v>4277.9750705694587</v>
      </c>
      <c r="G148" s="17">
        <f t="shared" ca="1" si="81"/>
        <v>3640.1967394007488</v>
      </c>
      <c r="H148" s="17">
        <f t="shared" ca="1" si="81"/>
        <v>1615.9880817474018</v>
      </c>
      <c r="I148" s="17">
        <f t="shared" ca="1" si="81"/>
        <v>-1061.9558796918823</v>
      </c>
      <c r="J148" s="17">
        <f t="shared" ca="1" si="81"/>
        <v>-4595.357706288396</v>
      </c>
      <c r="K148" s="17">
        <f t="shared" ca="1" si="81"/>
        <v>-5126.8463057373319</v>
      </c>
    </row>
    <row r="149" spans="2:11" x14ac:dyDescent="0.2">
      <c r="B149" s="75" t="s">
        <v>106</v>
      </c>
      <c r="C149" s="101"/>
      <c r="D149" s="101"/>
      <c r="E149" s="102"/>
      <c r="F149" s="17">
        <f t="shared" ref="F149:K149" si="82">F191</f>
        <v>54</v>
      </c>
      <c r="G149" s="17">
        <f t="shared" si="82"/>
        <v>220</v>
      </c>
      <c r="H149" s="17">
        <f t="shared" si="82"/>
        <v>198</v>
      </c>
      <c r="I149" s="17">
        <f t="shared" si="82"/>
        <v>180</v>
      </c>
      <c r="J149" s="17">
        <f t="shared" si="82"/>
        <v>166</v>
      </c>
      <c r="K149" s="17">
        <f t="shared" si="82"/>
        <v>144</v>
      </c>
    </row>
    <row r="150" spans="2:11" x14ac:dyDescent="0.2">
      <c r="B150" s="75" t="s">
        <v>107</v>
      </c>
      <c r="C150" s="101"/>
      <c r="D150" s="101"/>
      <c r="E150" s="102"/>
      <c r="F150" s="17">
        <f t="shared" ref="F150:K150" si="83">F190</f>
        <v>-54</v>
      </c>
      <c r="G150" s="17">
        <f t="shared" si="83"/>
        <v>-220</v>
      </c>
      <c r="H150" s="17">
        <f t="shared" si="83"/>
        <v>-198</v>
      </c>
      <c r="I150" s="17">
        <f t="shared" si="83"/>
        <v>-180</v>
      </c>
      <c r="J150" s="17">
        <f t="shared" si="83"/>
        <v>-166</v>
      </c>
      <c r="K150" s="17">
        <f t="shared" si="83"/>
        <v>-144</v>
      </c>
    </row>
    <row r="151" spans="2:11" x14ac:dyDescent="0.2">
      <c r="B151" s="75" t="s">
        <v>108</v>
      </c>
      <c r="C151" s="101"/>
      <c r="D151" s="101"/>
      <c r="E151" s="102"/>
      <c r="F151" s="17">
        <f>F165</f>
        <v>-10039</v>
      </c>
      <c r="G151" s="17">
        <f t="shared" ref="G151:K152" si="84">G165</f>
        <v>-10039</v>
      </c>
      <c r="H151" s="17">
        <f t="shared" si="84"/>
        <v>-10039</v>
      </c>
      <c r="I151" s="17">
        <f t="shared" si="84"/>
        <v>-10039</v>
      </c>
      <c r="J151" s="17">
        <f t="shared" si="84"/>
        <v>-10039</v>
      </c>
      <c r="K151" s="17">
        <f t="shared" si="84"/>
        <v>-10039</v>
      </c>
    </row>
    <row r="152" spans="2:11" x14ac:dyDescent="0.2">
      <c r="B152" s="75" t="s">
        <v>109</v>
      </c>
      <c r="C152" s="101"/>
      <c r="D152" s="101"/>
      <c r="E152" s="102"/>
      <c r="F152" s="17">
        <f ca="1">F166</f>
        <v>-723.58359485265964</v>
      </c>
      <c r="G152" s="17">
        <f t="shared" ca="1" si="84"/>
        <v>-954.67683479045525</v>
      </c>
      <c r="H152" s="17">
        <f t="shared" ca="1" si="84"/>
        <v>-1259.6821336783282</v>
      </c>
      <c r="I152" s="17">
        <f t="shared" ca="1" si="84"/>
        <v>-1661.6779827198302</v>
      </c>
      <c r="J152" s="17">
        <f t="shared" ca="1" si="84"/>
        <v>-2190.5788989463176</v>
      </c>
      <c r="K152" s="17">
        <f t="shared" ca="1" si="84"/>
        <v>-2884.5341527300502</v>
      </c>
    </row>
    <row r="153" spans="2:11" x14ac:dyDescent="0.2">
      <c r="B153" s="75" t="s">
        <v>110</v>
      </c>
      <c r="C153" s="101"/>
      <c r="D153" s="101"/>
      <c r="E153" s="102"/>
      <c r="F153" s="17"/>
      <c r="G153" s="17"/>
      <c r="H153" s="17"/>
      <c r="I153" s="17"/>
      <c r="J153" s="17"/>
      <c r="K153" s="17"/>
    </row>
    <row r="154" spans="2:11" x14ac:dyDescent="0.2">
      <c r="B154" s="80" t="s">
        <v>111</v>
      </c>
      <c r="C154" s="101"/>
      <c r="D154" s="101"/>
      <c r="E154" s="101"/>
      <c r="F154" s="107">
        <f ca="1">SUM(F148:F153)</f>
        <v>-6484.6085242832014</v>
      </c>
      <c r="G154" s="108">
        <f t="shared" ref="G154:K154" ca="1" si="85">SUM(G148:G153)</f>
        <v>-7353.4800953897065</v>
      </c>
      <c r="H154" s="108">
        <f t="shared" ca="1" si="85"/>
        <v>-9682.6940519309264</v>
      </c>
      <c r="I154" s="108">
        <f t="shared" ca="1" si="85"/>
        <v>-12762.633862411712</v>
      </c>
      <c r="J154" s="108">
        <f t="shared" ca="1" si="85"/>
        <v>-16824.936605234714</v>
      </c>
      <c r="K154" s="108">
        <f t="shared" ca="1" si="85"/>
        <v>-18050.380458467382</v>
      </c>
    </row>
    <row r="155" spans="2:11" x14ac:dyDescent="0.2">
      <c r="B155" s="75"/>
      <c r="C155" s="101"/>
      <c r="D155" s="101"/>
      <c r="E155" s="102"/>
      <c r="F155" s="17"/>
      <c r="G155" s="17"/>
      <c r="H155" s="17"/>
      <c r="I155" s="17"/>
      <c r="J155" s="17"/>
      <c r="K155" s="17"/>
    </row>
    <row r="156" spans="2:11" x14ac:dyDescent="0.2">
      <c r="B156" s="75" t="s">
        <v>112</v>
      </c>
      <c r="C156" s="109"/>
      <c r="D156" s="109"/>
      <c r="E156" s="110"/>
      <c r="F156" s="17">
        <f>E58</f>
        <v>3389</v>
      </c>
      <c r="G156" s="17">
        <f ca="1">F158</f>
        <v>2500</v>
      </c>
      <c r="H156" s="17">
        <f t="shared" ref="H156:K156" ca="1" si="86">G158</f>
        <v>2500</v>
      </c>
      <c r="I156" s="17">
        <f t="shared" ca="1" si="86"/>
        <v>2500</v>
      </c>
      <c r="J156" s="17">
        <f t="shared" ca="1" si="86"/>
        <v>2500</v>
      </c>
      <c r="K156" s="17">
        <f t="shared" ca="1" si="86"/>
        <v>2500</v>
      </c>
    </row>
    <row r="157" spans="2:11" x14ac:dyDescent="0.2">
      <c r="B157" s="75" t="s">
        <v>113</v>
      </c>
      <c r="C157" s="101"/>
      <c r="D157" s="101"/>
      <c r="E157" s="102"/>
      <c r="F157" s="17">
        <f ca="1">SUM(F143,F146,F154)</f>
        <v>-889</v>
      </c>
      <c r="G157" s="17">
        <f ca="1">SUM(G143,G146,G154)</f>
        <v>0</v>
      </c>
      <c r="H157" s="17">
        <f t="shared" ref="H157:K157" ca="1" si="87">SUM(H143,H146,H154)</f>
        <v>0</v>
      </c>
      <c r="I157" s="17">
        <f t="shared" ca="1" si="87"/>
        <v>0</v>
      </c>
      <c r="J157" s="17">
        <f t="shared" ca="1" si="87"/>
        <v>0</v>
      </c>
      <c r="K157" s="17">
        <f t="shared" ca="1" si="87"/>
        <v>4111.4469407421166</v>
      </c>
    </row>
    <row r="158" spans="2:11" x14ac:dyDescent="0.2">
      <c r="B158" s="75" t="s">
        <v>114</v>
      </c>
      <c r="C158" s="111"/>
      <c r="D158" s="111"/>
      <c r="E158" s="112"/>
      <c r="F158" s="107">
        <f ca="1">SUM(F157,F156)</f>
        <v>2500</v>
      </c>
      <c r="G158" s="108">
        <f t="shared" ref="G158:K158" ca="1" si="88">SUM(G157,G156)</f>
        <v>2500</v>
      </c>
      <c r="H158" s="108">
        <f t="shared" ca="1" si="88"/>
        <v>2500</v>
      </c>
      <c r="I158" s="108">
        <f t="shared" ca="1" si="88"/>
        <v>2500</v>
      </c>
      <c r="J158" s="108">
        <f t="shared" ca="1" si="88"/>
        <v>2500</v>
      </c>
      <c r="K158" s="108">
        <f t="shared" ca="1" si="88"/>
        <v>6611.4469407421166</v>
      </c>
    </row>
    <row r="159" spans="2:11" x14ac:dyDescent="0.2">
      <c r="B159" s="62"/>
      <c r="C159" s="113"/>
      <c r="D159" s="113"/>
      <c r="E159" s="113"/>
      <c r="F159" s="55"/>
      <c r="G159" s="55"/>
      <c r="H159" s="55"/>
      <c r="I159" s="55"/>
      <c r="J159" s="55"/>
      <c r="K159" s="55"/>
    </row>
    <row r="160" spans="2:11" ht="20" x14ac:dyDescent="0.2">
      <c r="B160" s="114" t="s">
        <v>115</v>
      </c>
      <c r="C160" s="115"/>
      <c r="D160" s="115"/>
      <c r="E160" s="115"/>
      <c r="F160" s="116"/>
      <c r="G160" s="116"/>
      <c r="H160" s="116"/>
      <c r="I160" s="116"/>
      <c r="J160" s="116"/>
      <c r="K160" s="116"/>
    </row>
    <row r="161" spans="2:12" x14ac:dyDescent="0.2">
      <c r="B161" s="62"/>
      <c r="C161" s="12">
        <f>EOMONTH(D161,-12)</f>
        <v>44196</v>
      </c>
      <c r="D161" s="12">
        <f>EOMONTH(E161,-12)</f>
        <v>44561</v>
      </c>
      <c r="E161" s="13">
        <v>44926</v>
      </c>
      <c r="F161" s="12">
        <f>EOMONTH(E161,12)</f>
        <v>45291</v>
      </c>
      <c r="G161" s="12">
        <f t="shared" ref="G161:K161" si="89">EOMONTH(F161,12)</f>
        <v>45657</v>
      </c>
      <c r="H161" s="12">
        <f t="shared" si="89"/>
        <v>46022</v>
      </c>
      <c r="I161" s="12">
        <f t="shared" si="89"/>
        <v>46387</v>
      </c>
      <c r="J161" s="12">
        <f t="shared" si="89"/>
        <v>46752</v>
      </c>
      <c r="K161" s="12">
        <f t="shared" si="89"/>
        <v>47118</v>
      </c>
    </row>
    <row r="162" spans="2:12" x14ac:dyDescent="0.2">
      <c r="B162" s="117" t="s">
        <v>116</v>
      </c>
      <c r="C162" s="101"/>
      <c r="D162" s="101"/>
      <c r="E162" s="105"/>
      <c r="F162" s="55"/>
      <c r="G162" s="55"/>
      <c r="H162" s="55"/>
      <c r="I162" s="55"/>
      <c r="J162" s="55"/>
      <c r="K162" s="55"/>
    </row>
    <row r="163" spans="2:12" x14ac:dyDescent="0.2">
      <c r="B163" s="75" t="s">
        <v>117</v>
      </c>
      <c r="C163" s="92"/>
      <c r="D163" s="92"/>
      <c r="E163" s="103"/>
      <c r="F163" s="17">
        <f>E91</f>
        <v>22101</v>
      </c>
      <c r="G163" s="17">
        <f ca="1">F168</f>
        <v>19279.655456193617</v>
      </c>
      <c r="H163" s="17">
        <f t="shared" ref="H163:K163" ca="1" si="90">G168</f>
        <v>18763.436948952683</v>
      </c>
      <c r="I163" s="17">
        <f t="shared" ca="1" si="90"/>
        <v>21289.607980869678</v>
      </c>
      <c r="J163" s="17">
        <f t="shared" ca="1" si="90"/>
        <v>27825.637104984566</v>
      </c>
      <c r="K163" s="17">
        <f t="shared" ca="1" si="90"/>
        <v>39637.386423619944</v>
      </c>
    </row>
    <row r="164" spans="2:12" x14ac:dyDescent="0.2">
      <c r="B164" s="75" t="s">
        <v>118</v>
      </c>
      <c r="C164" s="101"/>
      <c r="D164" s="101"/>
      <c r="E164" s="102"/>
      <c r="F164" s="17">
        <f t="shared" ref="F164:K164" ca="1" si="91">F39</f>
        <v>7941.2390510462756</v>
      </c>
      <c r="G164" s="17">
        <f t="shared" ca="1" si="91"/>
        <v>10477.458327549519</v>
      </c>
      <c r="H164" s="17">
        <f t="shared" ca="1" si="91"/>
        <v>13824.853165595321</v>
      </c>
      <c r="I164" s="17">
        <f t="shared" ca="1" si="91"/>
        <v>18236.707106834721</v>
      </c>
      <c r="J164" s="17">
        <f t="shared" ca="1" si="91"/>
        <v>24041.3282175817</v>
      </c>
      <c r="K164" s="17">
        <f t="shared" ca="1" si="91"/>
        <v>31657.3999475499</v>
      </c>
    </row>
    <row r="165" spans="2:12" x14ac:dyDescent="0.2">
      <c r="B165" s="75" t="s">
        <v>108</v>
      </c>
      <c r="C165" s="92"/>
      <c r="D165" s="92"/>
      <c r="E165" s="103"/>
      <c r="F165" s="57">
        <v>-10039</v>
      </c>
      <c r="G165" s="17">
        <f>F165</f>
        <v>-10039</v>
      </c>
      <c r="H165" s="17">
        <f t="shared" ref="H165:K165" si="92">G165</f>
        <v>-10039</v>
      </c>
      <c r="I165" s="17">
        <f t="shared" si="92"/>
        <v>-10039</v>
      </c>
      <c r="J165" s="17">
        <f t="shared" si="92"/>
        <v>-10039</v>
      </c>
      <c r="K165" s="17">
        <f t="shared" si="92"/>
        <v>-10039</v>
      </c>
    </row>
    <row r="166" spans="2:12" x14ac:dyDescent="0.2">
      <c r="B166" s="75" t="s">
        <v>109</v>
      </c>
      <c r="C166" s="101"/>
      <c r="D166" s="101"/>
      <c r="E166" s="102"/>
      <c r="F166" s="17">
        <f ca="1">-F172</f>
        <v>-723.58359485265964</v>
      </c>
      <c r="G166" s="17">
        <f t="shared" ref="G166:K166" ca="1" si="93">-G172</f>
        <v>-954.67683479045525</v>
      </c>
      <c r="H166" s="17">
        <f t="shared" ca="1" si="93"/>
        <v>-1259.6821336783282</v>
      </c>
      <c r="I166" s="17">
        <f t="shared" ca="1" si="93"/>
        <v>-1661.6779827198302</v>
      </c>
      <c r="J166" s="17">
        <f t="shared" ca="1" si="93"/>
        <v>-2190.5788989463176</v>
      </c>
      <c r="K166" s="17">
        <f t="shared" ca="1" si="93"/>
        <v>-2884.5341527300502</v>
      </c>
    </row>
    <row r="167" spans="2:12" x14ac:dyDescent="0.2">
      <c r="B167" s="75" t="s">
        <v>110</v>
      </c>
      <c r="C167" s="92"/>
      <c r="D167" s="92"/>
      <c r="E167" s="103"/>
      <c r="F167" s="17"/>
      <c r="G167" s="17"/>
      <c r="H167" s="17"/>
      <c r="I167" s="17"/>
      <c r="J167" s="17"/>
      <c r="K167" s="17"/>
    </row>
    <row r="168" spans="2:12" x14ac:dyDescent="0.2">
      <c r="B168" s="80" t="s">
        <v>119</v>
      </c>
      <c r="C168" s="104"/>
      <c r="D168" s="104"/>
      <c r="E168" s="105"/>
      <c r="F168" s="106">
        <f ca="1">SUM(F163:F167)</f>
        <v>19279.655456193617</v>
      </c>
      <c r="G168" s="36">
        <f t="shared" ref="G168:K168" ca="1" si="94">SUM(G163:G167)</f>
        <v>18763.436948952683</v>
      </c>
      <c r="H168" s="36">
        <f t="shared" ca="1" si="94"/>
        <v>21289.607980869678</v>
      </c>
      <c r="I168" s="36">
        <f t="shared" ca="1" si="94"/>
        <v>27825.637104984566</v>
      </c>
      <c r="J168" s="36">
        <f t="shared" ca="1" si="94"/>
        <v>39637.386423619944</v>
      </c>
      <c r="K168" s="36">
        <f t="shared" ca="1" si="94"/>
        <v>58371.252218439797</v>
      </c>
    </row>
    <row r="169" spans="2:12" x14ac:dyDescent="0.2">
      <c r="B169" s="75"/>
      <c r="C169" s="113"/>
      <c r="D169" s="113"/>
      <c r="E169" s="118"/>
      <c r="F169" s="55"/>
      <c r="G169" s="55"/>
      <c r="H169" s="55"/>
      <c r="I169" s="55"/>
      <c r="J169" s="55"/>
      <c r="K169" s="55"/>
    </row>
    <row r="170" spans="2:12" x14ac:dyDescent="0.2">
      <c r="B170" s="117" t="s">
        <v>109</v>
      </c>
      <c r="C170" s="113"/>
      <c r="D170" s="113"/>
      <c r="E170" s="118"/>
      <c r="F170" s="55"/>
      <c r="G170" s="55"/>
      <c r="H170" s="55"/>
      <c r="I170" s="55"/>
      <c r="J170" s="55"/>
      <c r="K170" s="55"/>
    </row>
    <row r="171" spans="2:12" x14ac:dyDescent="0.2">
      <c r="B171" s="75" t="s">
        <v>120</v>
      </c>
      <c r="C171" s="119">
        <f>C172/C39</f>
        <v>9.1181902123730382E-2</v>
      </c>
      <c r="D171" s="119">
        <f>D172/D39</f>
        <v>4.0914684167350286E-2</v>
      </c>
      <c r="E171" s="120">
        <f>E172/E39</f>
        <v>9.1117216117216113E-2</v>
      </c>
      <c r="F171" s="95">
        <f>E171</f>
        <v>9.1117216117216113E-2</v>
      </c>
      <c r="G171" s="95">
        <f t="shared" ref="G171:K171" si="95">F171</f>
        <v>9.1117216117216113E-2</v>
      </c>
      <c r="H171" s="95">
        <f t="shared" si="95"/>
        <v>9.1117216117216113E-2</v>
      </c>
      <c r="I171" s="95">
        <f t="shared" si="95"/>
        <v>9.1117216117216113E-2</v>
      </c>
      <c r="J171" s="95">
        <f t="shared" si="95"/>
        <v>9.1117216117216113E-2</v>
      </c>
      <c r="K171" s="95">
        <f t="shared" si="95"/>
        <v>9.1117216117216113E-2</v>
      </c>
    </row>
    <row r="172" spans="2:12" x14ac:dyDescent="0.2">
      <c r="B172" s="75" t="s">
        <v>109</v>
      </c>
      <c r="C172" s="121">
        <v>395</v>
      </c>
      <c r="D172" s="121">
        <v>399</v>
      </c>
      <c r="E172" s="122">
        <v>398</v>
      </c>
      <c r="F172" s="55">
        <f ca="1">F39*F171</f>
        <v>723.58359485265964</v>
      </c>
      <c r="G172" s="55">
        <f t="shared" ref="G172:K172" ca="1" si="96">G39*G171</f>
        <v>954.67683479045525</v>
      </c>
      <c r="H172" s="55">
        <f t="shared" ca="1" si="96"/>
        <v>1259.6821336783282</v>
      </c>
      <c r="I172" s="55">
        <f t="shared" ca="1" si="96"/>
        <v>1661.6779827198302</v>
      </c>
      <c r="J172" s="55">
        <f t="shared" ca="1" si="96"/>
        <v>2190.5788989463176</v>
      </c>
      <c r="K172" s="55">
        <f t="shared" ca="1" si="96"/>
        <v>2884.5341527300502</v>
      </c>
    </row>
    <row r="173" spans="2:12" x14ac:dyDescent="0.2">
      <c r="B173" s="75"/>
      <c r="C173" s="55"/>
      <c r="D173" s="55"/>
      <c r="E173" s="76"/>
      <c r="F173" s="55"/>
      <c r="G173" s="55"/>
      <c r="H173" s="55"/>
      <c r="I173" s="55"/>
      <c r="J173" s="55"/>
      <c r="K173" s="55"/>
    </row>
    <row r="174" spans="2:12" x14ac:dyDescent="0.2">
      <c r="B174" s="117" t="s">
        <v>110</v>
      </c>
      <c r="C174" s="113"/>
      <c r="D174" s="113"/>
      <c r="E174" s="118"/>
      <c r="F174" s="55"/>
      <c r="G174" s="55"/>
      <c r="H174" s="55"/>
      <c r="I174" s="55"/>
      <c r="J174" s="55"/>
      <c r="K174" s="55"/>
      <c r="L174" s="5" t="s">
        <v>121</v>
      </c>
    </row>
    <row r="175" spans="2:12" x14ac:dyDescent="0.2">
      <c r="B175" s="75" t="s">
        <v>122</v>
      </c>
      <c r="C175" s="100"/>
      <c r="D175" s="100"/>
      <c r="E175" s="123"/>
      <c r="F175" s="17"/>
      <c r="G175" s="17"/>
      <c r="H175" s="17"/>
      <c r="I175" s="17"/>
      <c r="J175" s="17"/>
      <c r="K175" s="17"/>
      <c r="L175" s="124">
        <f ca="1">E175+$L$175</f>
        <v>0</v>
      </c>
    </row>
    <row r="176" spans="2:12" x14ac:dyDescent="0.2">
      <c r="B176" s="75" t="s">
        <v>110</v>
      </c>
      <c r="C176" s="61"/>
      <c r="D176" s="61"/>
      <c r="E176" s="60"/>
      <c r="F176" s="17"/>
      <c r="G176" s="17"/>
      <c r="H176" s="17"/>
      <c r="I176" s="17"/>
      <c r="J176" s="17"/>
      <c r="K176" s="17"/>
    </row>
    <row r="177" spans="2:11" x14ac:dyDescent="0.2">
      <c r="B177" s="62"/>
      <c r="C177" s="113"/>
      <c r="D177" s="113"/>
      <c r="E177" s="113"/>
      <c r="F177" s="55"/>
      <c r="G177" s="55"/>
      <c r="H177" s="55"/>
      <c r="I177" s="55"/>
      <c r="J177" s="55"/>
      <c r="K177" s="55"/>
    </row>
    <row r="178" spans="2:11" ht="20" x14ac:dyDescent="0.2">
      <c r="B178" s="114" t="s">
        <v>123</v>
      </c>
      <c r="C178" s="115"/>
      <c r="D178" s="115"/>
      <c r="E178" s="115"/>
      <c r="F178" s="116"/>
      <c r="G178" s="116"/>
      <c r="H178" s="116"/>
      <c r="I178" s="116"/>
      <c r="J178" s="116"/>
      <c r="K178" s="116"/>
    </row>
    <row r="179" spans="2:11" x14ac:dyDescent="0.2">
      <c r="B179" s="66"/>
      <c r="C179" s="12">
        <f>EOMONTH(D179,-12)</f>
        <v>44196</v>
      </c>
      <c r="D179" s="12">
        <f>EOMONTH(E179,-12)</f>
        <v>44561</v>
      </c>
      <c r="E179" s="13">
        <v>44926</v>
      </c>
      <c r="F179" s="12">
        <f>EOMONTH(E179,12)</f>
        <v>45291</v>
      </c>
      <c r="G179" s="12">
        <f t="shared" ref="G179:K179" si="97">EOMONTH(F179,12)</f>
        <v>45657</v>
      </c>
      <c r="H179" s="12">
        <f t="shared" si="97"/>
        <v>46022</v>
      </c>
      <c r="I179" s="12">
        <f t="shared" si="97"/>
        <v>46387</v>
      </c>
      <c r="J179" s="12">
        <f t="shared" si="97"/>
        <v>46752</v>
      </c>
      <c r="K179" s="12">
        <f t="shared" si="97"/>
        <v>47118</v>
      </c>
    </row>
    <row r="180" spans="2:11" x14ac:dyDescent="0.2">
      <c r="B180" s="75" t="s">
        <v>124</v>
      </c>
      <c r="C180" s="101"/>
      <c r="D180" s="101"/>
      <c r="E180" s="102"/>
      <c r="F180" s="17">
        <f ca="1">F143+F146</f>
        <v>5595.6085242832014</v>
      </c>
      <c r="G180" s="17">
        <f t="shared" ref="G180:K180" ca="1" si="98">G143+G146</f>
        <v>7353.4800953897065</v>
      </c>
      <c r="H180" s="17">
        <f t="shared" ca="1" si="98"/>
        <v>9682.6940519309264</v>
      </c>
      <c r="I180" s="17">
        <f t="shared" ca="1" si="98"/>
        <v>12762.633862411712</v>
      </c>
      <c r="J180" s="17">
        <f t="shared" ca="1" si="98"/>
        <v>16824.936605234714</v>
      </c>
      <c r="K180" s="17">
        <f t="shared" ca="1" si="98"/>
        <v>22161.827399209498</v>
      </c>
    </row>
    <row r="181" spans="2:11" x14ac:dyDescent="0.2">
      <c r="B181" s="125" t="s">
        <v>125</v>
      </c>
      <c r="C181" s="101"/>
      <c r="D181" s="101"/>
      <c r="E181" s="102"/>
      <c r="F181" s="17">
        <f>F165</f>
        <v>-10039</v>
      </c>
      <c r="G181" s="17">
        <f t="shared" ref="G181:K182" si="99">G165</f>
        <v>-10039</v>
      </c>
      <c r="H181" s="17">
        <f t="shared" si="99"/>
        <v>-10039</v>
      </c>
      <c r="I181" s="17">
        <f t="shared" si="99"/>
        <v>-10039</v>
      </c>
      <c r="J181" s="17">
        <f t="shared" si="99"/>
        <v>-10039</v>
      </c>
      <c r="K181" s="17">
        <f t="shared" si="99"/>
        <v>-10039</v>
      </c>
    </row>
    <row r="182" spans="2:11" x14ac:dyDescent="0.2">
      <c r="B182" s="125" t="s">
        <v>109</v>
      </c>
      <c r="C182" s="20"/>
      <c r="D182" s="20"/>
      <c r="E182" s="47"/>
      <c r="F182" s="17">
        <f ca="1">F166</f>
        <v>-723.58359485265964</v>
      </c>
      <c r="G182" s="17">
        <f t="shared" ca="1" si="99"/>
        <v>-954.67683479045525</v>
      </c>
      <c r="H182" s="17">
        <f t="shared" ca="1" si="99"/>
        <v>-1259.6821336783282</v>
      </c>
      <c r="I182" s="17">
        <f t="shared" ca="1" si="99"/>
        <v>-1661.6779827198302</v>
      </c>
      <c r="J182" s="17">
        <f t="shared" ca="1" si="99"/>
        <v>-2190.5788989463176</v>
      </c>
      <c r="K182" s="17">
        <f t="shared" ca="1" si="99"/>
        <v>-2884.5341527300502</v>
      </c>
    </row>
    <row r="183" spans="2:11" x14ac:dyDescent="0.2">
      <c r="B183" s="125" t="s">
        <v>126</v>
      </c>
      <c r="C183" s="20"/>
      <c r="D183" s="20"/>
      <c r="E183" s="47"/>
      <c r="F183" s="17"/>
      <c r="G183" s="17"/>
      <c r="H183" s="17"/>
      <c r="I183" s="17"/>
      <c r="J183" s="17"/>
      <c r="K183" s="17"/>
    </row>
    <row r="184" spans="2:11" x14ac:dyDescent="0.2">
      <c r="B184" s="125" t="s">
        <v>127</v>
      </c>
      <c r="C184" s="20"/>
      <c r="D184" s="20"/>
      <c r="E184" s="47"/>
      <c r="F184" s="17">
        <f>E58</f>
        <v>3389</v>
      </c>
      <c r="G184" s="17">
        <f t="shared" ref="G184:K184" ca="1" si="100">F58</f>
        <v>2500</v>
      </c>
      <c r="H184" s="17">
        <f t="shared" ca="1" si="100"/>
        <v>2500</v>
      </c>
      <c r="I184" s="17">
        <f t="shared" ca="1" si="100"/>
        <v>2500</v>
      </c>
      <c r="J184" s="17">
        <f t="shared" ca="1" si="100"/>
        <v>2500</v>
      </c>
      <c r="K184" s="17">
        <f t="shared" ca="1" si="100"/>
        <v>2500</v>
      </c>
    </row>
    <row r="185" spans="2:11" x14ac:dyDescent="0.2">
      <c r="B185" s="125" t="s">
        <v>128</v>
      </c>
      <c r="C185" s="20"/>
      <c r="D185" s="20"/>
      <c r="E185" s="47"/>
      <c r="F185" s="57">
        <v>-2500</v>
      </c>
      <c r="G185" s="17">
        <v>-2500</v>
      </c>
      <c r="H185" s="17">
        <v>-2500</v>
      </c>
      <c r="I185" s="17">
        <v>-2500</v>
      </c>
      <c r="J185" s="17">
        <v>-2500</v>
      </c>
      <c r="K185" s="17">
        <v>-2500</v>
      </c>
    </row>
    <row r="186" spans="2:11" x14ac:dyDescent="0.2">
      <c r="B186" s="80" t="s">
        <v>129</v>
      </c>
      <c r="C186" s="81"/>
      <c r="D186" s="81"/>
      <c r="E186" s="126"/>
      <c r="F186" s="108">
        <f ca="1">SUM(F180:F185)</f>
        <v>-4277.9750705694587</v>
      </c>
      <c r="G186" s="108">
        <f ca="1">SUM(G180:G185)</f>
        <v>-3640.1967394007488</v>
      </c>
      <c r="H186" s="108">
        <f ca="1">SUM(H180:H185)</f>
        <v>-1615.9880817474018</v>
      </c>
      <c r="I186" s="108">
        <f t="shared" ref="I186:K186" ca="1" si="101">SUM(I180:I185)</f>
        <v>1061.9558796918823</v>
      </c>
      <c r="J186" s="108">
        <f t="shared" ca="1" si="101"/>
        <v>4595.357706288396</v>
      </c>
      <c r="K186" s="108">
        <f t="shared" ca="1" si="101"/>
        <v>9238.2932464794485</v>
      </c>
    </row>
    <row r="187" spans="2:11" x14ac:dyDescent="0.2">
      <c r="B187" s="75"/>
      <c r="C187" s="20"/>
      <c r="D187" s="20"/>
      <c r="E187" s="47"/>
      <c r="F187" s="17"/>
      <c r="G187" s="17"/>
      <c r="H187" s="17"/>
      <c r="I187" s="17"/>
      <c r="J187" s="17"/>
      <c r="K187" s="17"/>
    </row>
    <row r="188" spans="2:11" x14ac:dyDescent="0.2">
      <c r="B188" s="117" t="s">
        <v>65</v>
      </c>
      <c r="C188" s="20"/>
      <c r="D188" s="20"/>
      <c r="E188" s="47"/>
      <c r="F188" s="17"/>
      <c r="G188" s="17"/>
      <c r="H188" s="17"/>
      <c r="I188" s="17"/>
      <c r="J188" s="17"/>
      <c r="K188" s="17"/>
    </row>
    <row r="189" spans="2:11" x14ac:dyDescent="0.2">
      <c r="B189" s="75" t="s">
        <v>130</v>
      </c>
      <c r="C189" s="20"/>
      <c r="D189" s="20"/>
      <c r="E189" s="47"/>
      <c r="F189" s="17">
        <f>E79</f>
        <v>9703</v>
      </c>
      <c r="G189" s="17">
        <f t="shared" ref="G189:K189" si="102">F79</f>
        <v>9703</v>
      </c>
      <c r="H189" s="17">
        <f t="shared" si="102"/>
        <v>9703</v>
      </c>
      <c r="I189" s="17">
        <f t="shared" si="102"/>
        <v>9703</v>
      </c>
      <c r="J189" s="17">
        <f t="shared" si="102"/>
        <v>9703</v>
      </c>
      <c r="K189" s="17">
        <f t="shared" si="102"/>
        <v>9703</v>
      </c>
    </row>
    <row r="190" spans="2:11" x14ac:dyDescent="0.2">
      <c r="B190" s="75" t="s">
        <v>131</v>
      </c>
      <c r="C190" s="20"/>
      <c r="D190" s="20"/>
      <c r="E190" s="47"/>
      <c r="F190" s="57">
        <v>-54</v>
      </c>
      <c r="G190" s="57">
        <v>-220</v>
      </c>
      <c r="H190" s="57">
        <v>-198</v>
      </c>
      <c r="I190" s="57">
        <v>-180</v>
      </c>
      <c r="J190" s="57">
        <v>-166</v>
      </c>
      <c r="K190" s="57">
        <v>-144</v>
      </c>
    </row>
    <row r="191" spans="2:11" x14ac:dyDescent="0.2">
      <c r="B191" s="75" t="s">
        <v>132</v>
      </c>
      <c r="C191" s="20"/>
      <c r="D191" s="20"/>
      <c r="E191" s="47"/>
      <c r="F191" s="17">
        <f>-F190</f>
        <v>54</v>
      </c>
      <c r="G191" s="17">
        <f t="shared" ref="G191:K191" si="103">-G190</f>
        <v>220</v>
      </c>
      <c r="H191" s="17">
        <f t="shared" si="103"/>
        <v>198</v>
      </c>
      <c r="I191" s="17">
        <f t="shared" si="103"/>
        <v>180</v>
      </c>
      <c r="J191" s="17">
        <f t="shared" si="103"/>
        <v>166</v>
      </c>
      <c r="K191" s="17">
        <f t="shared" si="103"/>
        <v>144</v>
      </c>
    </row>
    <row r="192" spans="2:11" x14ac:dyDescent="0.2">
      <c r="B192" s="75" t="s">
        <v>133</v>
      </c>
      <c r="C192" s="81"/>
      <c r="D192" s="81"/>
      <c r="E192" s="81"/>
      <c r="F192" s="107">
        <f>SUM(F189:F191)</f>
        <v>9703</v>
      </c>
      <c r="G192" s="108">
        <f t="shared" ref="G192:K192" si="104">SUM(G189:G191)</f>
        <v>9703</v>
      </c>
      <c r="H192" s="108">
        <f t="shared" si="104"/>
        <v>9703</v>
      </c>
      <c r="I192" s="108">
        <f t="shared" si="104"/>
        <v>9703</v>
      </c>
      <c r="J192" s="108">
        <f t="shared" si="104"/>
        <v>9703</v>
      </c>
      <c r="K192" s="108">
        <f t="shared" si="104"/>
        <v>9703</v>
      </c>
    </row>
    <row r="193" spans="2:11" x14ac:dyDescent="0.2">
      <c r="B193" s="75"/>
      <c r="C193" s="20"/>
      <c r="D193" s="20"/>
      <c r="E193" s="47"/>
      <c r="F193" s="17"/>
      <c r="G193" s="17"/>
      <c r="H193" s="17"/>
      <c r="I193" s="17"/>
      <c r="J193" s="17"/>
      <c r="K193" s="17"/>
    </row>
    <row r="194" spans="2:11" x14ac:dyDescent="0.2">
      <c r="B194" s="117" t="s">
        <v>134</v>
      </c>
      <c r="C194" s="20"/>
      <c r="D194" s="20"/>
      <c r="E194" s="47"/>
      <c r="F194" s="17"/>
      <c r="G194" s="17"/>
      <c r="H194" s="17"/>
      <c r="I194" s="17"/>
      <c r="J194" s="17"/>
      <c r="K194" s="17"/>
    </row>
    <row r="195" spans="2:11" x14ac:dyDescent="0.2">
      <c r="B195" s="75" t="s">
        <v>135</v>
      </c>
      <c r="C195" s="20"/>
      <c r="D195" s="20"/>
      <c r="E195" s="47"/>
      <c r="F195" s="17">
        <f ca="1">F186+SUM(F190:F191)</f>
        <v>-4277.9750705694587</v>
      </c>
      <c r="G195" s="17">
        <f t="shared" ref="G195:K195" ca="1" si="105">G186+SUM(G190:G191)</f>
        <v>-3640.1967394007488</v>
      </c>
      <c r="H195" s="17">
        <f t="shared" ca="1" si="105"/>
        <v>-1615.9880817474018</v>
      </c>
      <c r="I195" s="17">
        <f t="shared" ca="1" si="105"/>
        <v>1061.9558796918823</v>
      </c>
      <c r="J195" s="17">
        <f t="shared" ca="1" si="105"/>
        <v>4595.357706288396</v>
      </c>
      <c r="K195" s="17">
        <f t="shared" ca="1" si="105"/>
        <v>9238.2932464794485</v>
      </c>
    </row>
    <row r="196" spans="2:11" x14ac:dyDescent="0.2">
      <c r="B196" s="75" t="s">
        <v>136</v>
      </c>
      <c r="C196" s="20"/>
      <c r="D196" s="20"/>
      <c r="E196" s="47"/>
      <c r="F196" s="17">
        <f>E76</f>
        <v>1250</v>
      </c>
      <c r="G196" s="17">
        <f ca="1">F198</f>
        <v>5527.9750705694587</v>
      </c>
      <c r="H196" s="17">
        <f t="shared" ref="H196:K196" ca="1" si="106">G198</f>
        <v>9168.1718099702084</v>
      </c>
      <c r="I196" s="17">
        <f t="shared" ca="1" si="106"/>
        <v>10784.159891717611</v>
      </c>
      <c r="J196" s="17">
        <f t="shared" ca="1" si="106"/>
        <v>9722.2040120257279</v>
      </c>
      <c r="K196" s="17">
        <f t="shared" ca="1" si="106"/>
        <v>5126.8463057373319</v>
      </c>
    </row>
    <row r="197" spans="2:11" x14ac:dyDescent="0.2">
      <c r="B197" s="75" t="s">
        <v>137</v>
      </c>
      <c r="C197" s="20"/>
      <c r="D197" s="20"/>
      <c r="E197" s="47"/>
      <c r="F197" s="17">
        <f ca="1">-MIN(F195:F196)</f>
        <v>4277.9750705694587</v>
      </c>
      <c r="G197" s="17">
        <f t="shared" ref="G197:K197" ca="1" si="107">-MIN(G195:G196)</f>
        <v>3640.1967394007488</v>
      </c>
      <c r="H197" s="17">
        <f t="shared" ca="1" si="107"/>
        <v>1615.9880817474018</v>
      </c>
      <c r="I197" s="17">
        <f t="shared" ca="1" si="107"/>
        <v>-1061.9558796918823</v>
      </c>
      <c r="J197" s="17">
        <f t="shared" ca="1" si="107"/>
        <v>-4595.357706288396</v>
      </c>
      <c r="K197" s="17">
        <f t="shared" ca="1" si="107"/>
        <v>-5126.8463057373319</v>
      </c>
    </row>
    <row r="198" spans="2:11" x14ac:dyDescent="0.2">
      <c r="B198" s="75" t="s">
        <v>138</v>
      </c>
      <c r="C198" s="81"/>
      <c r="D198" s="81"/>
      <c r="E198" s="126"/>
      <c r="F198" s="108">
        <f ca="1">SUM(F196:F197)</f>
        <v>5527.9750705694587</v>
      </c>
      <c r="G198" s="108">
        <f t="shared" ref="G198:K198" ca="1" si="108">SUM(G196:G197)</f>
        <v>9168.1718099702084</v>
      </c>
      <c r="H198" s="108">
        <f t="shared" ca="1" si="108"/>
        <v>10784.159891717611</v>
      </c>
      <c r="I198" s="108">
        <f t="shared" ca="1" si="108"/>
        <v>9722.2040120257279</v>
      </c>
      <c r="J198" s="108">
        <f t="shared" ca="1" si="108"/>
        <v>5126.8463057373319</v>
      </c>
      <c r="K198" s="108">
        <f t="shared" ca="1" si="108"/>
        <v>0</v>
      </c>
    </row>
    <row r="199" spans="2:11" x14ac:dyDescent="0.2">
      <c r="B199" s="75"/>
      <c r="C199" s="20"/>
      <c r="D199" s="20"/>
      <c r="E199" s="47"/>
      <c r="F199" s="17"/>
      <c r="G199" s="17"/>
      <c r="H199" s="17"/>
      <c r="I199" s="17"/>
      <c r="J199" s="17"/>
      <c r="K199" s="17"/>
    </row>
    <row r="200" spans="2:11" x14ac:dyDescent="0.2">
      <c r="B200" s="117" t="s">
        <v>139</v>
      </c>
      <c r="C200" s="20"/>
      <c r="D200" s="20"/>
      <c r="E200" s="47"/>
      <c r="F200" s="17"/>
      <c r="G200" s="17"/>
      <c r="H200" s="17"/>
      <c r="I200" s="17"/>
      <c r="J200" s="17"/>
      <c r="K200" s="17"/>
    </row>
    <row r="201" spans="2:11" x14ac:dyDescent="0.2">
      <c r="B201" s="75" t="s">
        <v>140</v>
      </c>
      <c r="C201" s="20"/>
      <c r="D201" s="20"/>
      <c r="E201" s="47"/>
      <c r="F201" s="91">
        <v>0.01</v>
      </c>
      <c r="G201" s="89">
        <v>0.01</v>
      </c>
      <c r="H201" s="89">
        <v>0.01</v>
      </c>
      <c r="I201" s="89">
        <v>0.01</v>
      </c>
      <c r="J201" s="89">
        <v>0.01</v>
      </c>
      <c r="K201" s="89">
        <v>0.01</v>
      </c>
    </row>
    <row r="202" spans="2:11" x14ac:dyDescent="0.2">
      <c r="B202" s="75" t="s">
        <v>141</v>
      </c>
      <c r="C202" s="20"/>
      <c r="D202" s="20"/>
      <c r="E202" s="47"/>
      <c r="F202" s="17">
        <f ca="1">AVERAGE(F196,F198)*F201</f>
        <v>33.889875352847291</v>
      </c>
      <c r="G202" s="17">
        <f t="shared" ref="G202:K202" ca="1" si="109">AVERAGE(G196,G198)*G201</f>
        <v>73.480734402698332</v>
      </c>
      <c r="H202" s="17">
        <f t="shared" ca="1" si="109"/>
        <v>99.761658508439112</v>
      </c>
      <c r="I202" s="17">
        <f t="shared" ca="1" si="109"/>
        <v>102.5318195187167</v>
      </c>
      <c r="J202" s="17">
        <f t="shared" ca="1" si="109"/>
        <v>74.245251588815307</v>
      </c>
      <c r="K202" s="17">
        <f t="shared" ca="1" si="109"/>
        <v>25.634231528686659</v>
      </c>
    </row>
    <row r="203" spans="2:11" x14ac:dyDescent="0.2">
      <c r="B203" s="75" t="s">
        <v>142</v>
      </c>
      <c r="C203" s="20"/>
      <c r="D203" s="20"/>
      <c r="E203" s="47"/>
      <c r="F203" s="91">
        <v>2.1999999999999999E-2</v>
      </c>
      <c r="G203" s="89">
        <f>F203</f>
        <v>2.1999999999999999E-2</v>
      </c>
      <c r="H203" s="89">
        <f t="shared" ref="H203:K203" si="110">G203</f>
        <v>2.1999999999999999E-2</v>
      </c>
      <c r="I203" s="89">
        <f t="shared" si="110"/>
        <v>2.1999999999999999E-2</v>
      </c>
      <c r="J203" s="89">
        <f t="shared" si="110"/>
        <v>2.1999999999999999E-2</v>
      </c>
      <c r="K203" s="89">
        <f t="shared" si="110"/>
        <v>2.1999999999999999E-2</v>
      </c>
    </row>
    <row r="204" spans="2:11" x14ac:dyDescent="0.2">
      <c r="B204" s="75" t="s">
        <v>143</v>
      </c>
      <c r="C204" s="20"/>
      <c r="D204" s="20"/>
      <c r="E204" s="47"/>
      <c r="F204" s="17">
        <f>AVERAGE(F189,F192)*F203</f>
        <v>213.46599999999998</v>
      </c>
      <c r="G204" s="17">
        <f t="shared" ref="G204:K204" si="111">AVERAGE(G189,G192)*G203</f>
        <v>213.46599999999998</v>
      </c>
      <c r="H204" s="17">
        <f t="shared" si="111"/>
        <v>213.46599999999998</v>
      </c>
      <c r="I204" s="17">
        <f t="shared" si="111"/>
        <v>213.46599999999998</v>
      </c>
      <c r="J204" s="17">
        <f t="shared" si="111"/>
        <v>213.46599999999998</v>
      </c>
      <c r="K204" s="17">
        <f t="shared" si="111"/>
        <v>213.46599999999998</v>
      </c>
    </row>
    <row r="205" spans="2:11" x14ac:dyDescent="0.2">
      <c r="B205" s="75" t="s">
        <v>144</v>
      </c>
      <c r="C205" s="20"/>
      <c r="D205" s="20"/>
      <c r="E205" s="47"/>
      <c r="F205" s="107">
        <f ca="1">SUM(F202,F204)</f>
        <v>247.35587535284728</v>
      </c>
      <c r="G205" s="108">
        <f ca="1">SUM(G202,G204)</f>
        <v>286.94673440269833</v>
      </c>
      <c r="H205" s="108">
        <f t="shared" ref="H205:K205" ca="1" si="112">SUM(H202,H204)</f>
        <v>313.22765850843911</v>
      </c>
      <c r="I205" s="108">
        <f t="shared" ca="1" si="112"/>
        <v>315.99781951871671</v>
      </c>
      <c r="J205" s="108">
        <f t="shared" ca="1" si="112"/>
        <v>287.71125158881529</v>
      </c>
      <c r="K205" s="108">
        <f t="shared" ca="1" si="112"/>
        <v>239.10023152868663</v>
      </c>
    </row>
    <row r="206" spans="2:11" x14ac:dyDescent="0.2">
      <c r="B206" s="75"/>
      <c r="C206" s="20"/>
      <c r="D206" s="20"/>
      <c r="E206" s="47"/>
      <c r="F206" s="17"/>
      <c r="G206" s="17"/>
      <c r="H206" s="17"/>
      <c r="I206" s="17"/>
      <c r="J206" s="17"/>
      <c r="K206" s="17"/>
    </row>
    <row r="207" spans="2:11" x14ac:dyDescent="0.2">
      <c r="B207" s="75" t="s">
        <v>145</v>
      </c>
      <c r="C207" s="20"/>
      <c r="D207" s="20"/>
      <c r="E207" s="47"/>
      <c r="F207" s="17">
        <f t="shared" ref="F207:K207" ca="1" si="113">AVERAGE(E58:F58)</f>
        <v>2944.5</v>
      </c>
      <c r="G207" s="17">
        <f t="shared" ca="1" si="113"/>
        <v>2500</v>
      </c>
      <c r="H207" s="17">
        <f t="shared" ca="1" si="113"/>
        <v>2500</v>
      </c>
      <c r="I207" s="17">
        <f t="shared" ca="1" si="113"/>
        <v>2500</v>
      </c>
      <c r="J207" s="17">
        <f t="shared" ca="1" si="113"/>
        <v>2500</v>
      </c>
      <c r="K207" s="17">
        <f t="shared" ca="1" si="113"/>
        <v>4555.7234703710583</v>
      </c>
    </row>
    <row r="208" spans="2:11" x14ac:dyDescent="0.2">
      <c r="B208" s="75" t="s">
        <v>146</v>
      </c>
      <c r="C208" s="20"/>
      <c r="D208" s="20"/>
      <c r="E208" s="47"/>
      <c r="F208" s="91">
        <v>5.0000000000000001E-3</v>
      </c>
      <c r="G208" s="89">
        <f>F208</f>
        <v>5.0000000000000001E-3</v>
      </c>
      <c r="H208" s="89">
        <f t="shared" ref="H208:K208" si="114">G208</f>
        <v>5.0000000000000001E-3</v>
      </c>
      <c r="I208" s="89">
        <f t="shared" si="114"/>
        <v>5.0000000000000001E-3</v>
      </c>
      <c r="J208" s="89">
        <f t="shared" si="114"/>
        <v>5.0000000000000001E-3</v>
      </c>
      <c r="K208" s="89">
        <f t="shared" si="114"/>
        <v>5.0000000000000001E-3</v>
      </c>
    </row>
    <row r="209" spans="2:11" x14ac:dyDescent="0.2">
      <c r="B209" s="75" t="s">
        <v>147</v>
      </c>
      <c r="C209" s="20"/>
      <c r="D209" s="20"/>
      <c r="E209" s="20"/>
      <c r="F209" s="107">
        <f ca="1">F207*F208</f>
        <v>14.7225</v>
      </c>
      <c r="G209" s="108">
        <f t="shared" ref="G209:K209" ca="1" si="115">G207*G208</f>
        <v>12.5</v>
      </c>
      <c r="H209" s="108">
        <f t="shared" ca="1" si="115"/>
        <v>12.5</v>
      </c>
      <c r="I209" s="108">
        <f t="shared" ca="1" si="115"/>
        <v>12.5</v>
      </c>
      <c r="J209" s="108">
        <f t="shared" ca="1" si="115"/>
        <v>12.5</v>
      </c>
      <c r="K209" s="108">
        <f t="shared" ca="1" si="115"/>
        <v>22.778617351855292</v>
      </c>
    </row>
    <row r="210" spans="2:11" x14ac:dyDescent="0.2">
      <c r="B210" s="75"/>
      <c r="C210" s="20"/>
      <c r="D210" s="20"/>
      <c r="E210" s="47"/>
      <c r="F210" s="17"/>
      <c r="G210" s="17"/>
      <c r="H210" s="17"/>
      <c r="I210" s="17"/>
      <c r="J210" s="17"/>
      <c r="K210" s="17"/>
    </row>
    <row r="211" spans="2:11" x14ac:dyDescent="0.2">
      <c r="B211" s="80" t="s">
        <v>148</v>
      </c>
      <c r="C211" s="20"/>
      <c r="D211" s="20"/>
      <c r="E211" s="47"/>
      <c r="F211" s="29">
        <f ca="1">F205-F209</f>
        <v>232.63337535284728</v>
      </c>
      <c r="G211" s="29">
        <f t="shared" ref="G211:K211" ca="1" si="116">G205-G209</f>
        <v>274.44673440269833</v>
      </c>
      <c r="H211" s="29">
        <f t="shared" ca="1" si="116"/>
        <v>300.72765850843911</v>
      </c>
      <c r="I211" s="29">
        <f t="shared" ca="1" si="116"/>
        <v>303.49781951871671</v>
      </c>
      <c r="J211" s="29">
        <f t="shared" ca="1" si="116"/>
        <v>275.21125158881529</v>
      </c>
      <c r="K211" s="29">
        <f t="shared" ca="1" si="116"/>
        <v>216.32161417683133</v>
      </c>
    </row>
    <row r="213" spans="2:11" ht="20" x14ac:dyDescent="0.25">
      <c r="B213" s="9" t="s">
        <v>149</v>
      </c>
      <c r="C213" s="9"/>
      <c r="D213" s="9"/>
      <c r="E213" s="9"/>
      <c r="F213" s="9"/>
      <c r="G213" s="9"/>
      <c r="H213" s="9"/>
      <c r="I213" s="9"/>
      <c r="J213" s="9"/>
      <c r="K213" s="9"/>
    </row>
    <row r="214" spans="2:11" x14ac:dyDescent="0.2">
      <c r="C214" s="12">
        <f>EOMONTH(D214,-12)</f>
        <v>44196</v>
      </c>
      <c r="D214" s="12">
        <f>EOMONTH(E214,-12)</f>
        <v>44561</v>
      </c>
      <c r="E214" s="13">
        <v>44926</v>
      </c>
      <c r="F214" s="12">
        <f>EOMONTH(E214,12)</f>
        <v>45291</v>
      </c>
      <c r="G214" s="12">
        <f t="shared" ref="G214:K214" si="117">EOMONTH(F214,12)</f>
        <v>45657</v>
      </c>
      <c r="H214" s="12">
        <f t="shared" si="117"/>
        <v>46022</v>
      </c>
      <c r="I214" s="12">
        <f t="shared" si="117"/>
        <v>46387</v>
      </c>
      <c r="J214" s="12">
        <f t="shared" si="117"/>
        <v>46752</v>
      </c>
      <c r="K214" s="12">
        <f t="shared" si="117"/>
        <v>47118</v>
      </c>
    </row>
    <row r="215" spans="2:11" x14ac:dyDescent="0.2">
      <c r="B215" t="s">
        <v>150</v>
      </c>
      <c r="C215" s="57">
        <v>2467</v>
      </c>
      <c r="D215" s="171">
        <v>2496</v>
      </c>
      <c r="E215" s="127">
        <v>2487</v>
      </c>
      <c r="F215" s="17">
        <f>E219</f>
        <v>2517</v>
      </c>
      <c r="G215" s="17">
        <f t="shared" ref="G215:K215" ca="1" si="118">F219</f>
        <v>2507.5339556900303</v>
      </c>
      <c r="H215" s="17">
        <f t="shared" ca="1" si="118"/>
        <v>2507.620201302967</v>
      </c>
      <c r="I215" s="17">
        <f t="shared" ca="1" si="118"/>
        <v>2514.8834991955227</v>
      </c>
      <c r="J215" s="17">
        <f t="shared" ca="1" si="118"/>
        <v>2527.560069185316</v>
      </c>
      <c r="K215" s="17">
        <f t="shared" ca="1" si="118"/>
        <v>2544.3317254962749</v>
      </c>
    </row>
    <row r="216" spans="2:11" x14ac:dyDescent="0.2">
      <c r="B216" s="75" t="s">
        <v>151</v>
      </c>
      <c r="C216" s="57">
        <v>35</v>
      </c>
      <c r="D216" s="57">
        <v>31</v>
      </c>
      <c r="E216" s="58">
        <v>30</v>
      </c>
      <c r="F216" s="57">
        <f>E216</f>
        <v>30</v>
      </c>
      <c r="G216" s="17">
        <f>F216</f>
        <v>30</v>
      </c>
      <c r="H216" s="17">
        <f t="shared" ref="H216:K217" si="119">G216</f>
        <v>30</v>
      </c>
      <c r="I216" s="17">
        <f t="shared" si="119"/>
        <v>30</v>
      </c>
      <c r="J216" s="17">
        <f t="shared" si="119"/>
        <v>30</v>
      </c>
      <c r="K216" s="17">
        <f t="shared" si="119"/>
        <v>30</v>
      </c>
    </row>
    <row r="217" spans="2:11" x14ac:dyDescent="0.2">
      <c r="B217" t="s">
        <v>152</v>
      </c>
      <c r="C217" s="57">
        <v>0</v>
      </c>
      <c r="D217" s="57">
        <v>0</v>
      </c>
      <c r="E217" s="58">
        <v>0</v>
      </c>
      <c r="F217" s="57">
        <f>E217</f>
        <v>0</v>
      </c>
      <c r="G217" s="57">
        <f t="shared" ref="G217" si="120">F217</f>
        <v>0</v>
      </c>
      <c r="H217" s="57">
        <f t="shared" si="119"/>
        <v>0</v>
      </c>
      <c r="I217" s="57">
        <f t="shared" si="119"/>
        <v>0</v>
      </c>
      <c r="J217" s="57">
        <f t="shared" si="119"/>
        <v>0</v>
      </c>
      <c r="K217" s="57">
        <f t="shared" si="119"/>
        <v>0</v>
      </c>
    </row>
    <row r="218" spans="2:11" x14ac:dyDescent="0.2">
      <c r="B218" t="s">
        <v>108</v>
      </c>
      <c r="C218" s="17">
        <f t="shared" ref="C218:D218" si="121">-C227</f>
        <v>0</v>
      </c>
      <c r="D218" s="25">
        <f t="shared" si="121"/>
        <v>-63</v>
      </c>
      <c r="E218" s="128">
        <v>0</v>
      </c>
      <c r="F218" s="17">
        <f ca="1">IF($C$11=1,-F227,0)</f>
        <v>-39.466044309969533</v>
      </c>
      <c r="G218" s="17">
        <f t="shared" ref="G218:K218" ca="1" si="122">IF($C$11=1,-G227,0)</f>
        <v>-29.913754387063179</v>
      </c>
      <c r="H218" s="17">
        <f t="shared" ca="1" si="122"/>
        <v>-22.736702107444231</v>
      </c>
      <c r="I218" s="17">
        <f t="shared" ca="1" si="122"/>
        <v>-17.323430010206806</v>
      </c>
      <c r="J218" s="17">
        <f t="shared" ca="1" si="122"/>
        <v>-13.22834368904115</v>
      </c>
      <c r="K218" s="17">
        <f t="shared" ca="1" si="122"/>
        <v>-10.124680393946404</v>
      </c>
    </row>
    <row r="219" spans="2:11" x14ac:dyDescent="0.2">
      <c r="B219" t="s">
        <v>153</v>
      </c>
      <c r="C219" s="108">
        <f t="shared" ref="C219:E219" si="123">SUM(C215:C218)</f>
        <v>2502</v>
      </c>
      <c r="D219" s="108">
        <f t="shared" si="123"/>
        <v>2464</v>
      </c>
      <c r="E219" s="129">
        <f t="shared" si="123"/>
        <v>2517</v>
      </c>
      <c r="F219" s="108">
        <f t="shared" ref="F219:K219" ca="1" si="124">SUM(F215:F218)</f>
        <v>2507.5339556900303</v>
      </c>
      <c r="G219" s="108">
        <f t="shared" ca="1" si="124"/>
        <v>2507.620201302967</v>
      </c>
      <c r="H219" s="108">
        <f t="shared" ca="1" si="124"/>
        <v>2514.8834991955227</v>
      </c>
      <c r="I219" s="108">
        <f t="shared" ca="1" si="124"/>
        <v>2527.560069185316</v>
      </c>
      <c r="J219" s="108">
        <f t="shared" ca="1" si="124"/>
        <v>2544.3317254962749</v>
      </c>
      <c r="K219" s="108">
        <f t="shared" ca="1" si="124"/>
        <v>2564.2070451023283</v>
      </c>
    </row>
    <row r="220" spans="2:11" x14ac:dyDescent="0.2">
      <c r="E220" s="32"/>
    </row>
    <row r="221" spans="2:11" x14ac:dyDescent="0.2">
      <c r="B221" t="s">
        <v>154</v>
      </c>
      <c r="C221" s="17">
        <f t="shared" ref="C221:E221" si="125">C222-C219</f>
        <v>8</v>
      </c>
      <c r="D221" s="17">
        <f t="shared" si="125"/>
        <v>71</v>
      </c>
      <c r="E221" s="54">
        <f t="shared" si="125"/>
        <v>-10</v>
      </c>
      <c r="F221" s="174">
        <f>E221</f>
        <v>-10</v>
      </c>
      <c r="G221" s="55">
        <f>F221</f>
        <v>-10</v>
      </c>
      <c r="H221" s="55">
        <f t="shared" ref="H221:K221" si="126">G221</f>
        <v>-10</v>
      </c>
      <c r="I221" s="55">
        <f t="shared" si="126"/>
        <v>-10</v>
      </c>
      <c r="J221" s="55">
        <f t="shared" si="126"/>
        <v>-10</v>
      </c>
      <c r="K221" s="55">
        <f t="shared" si="126"/>
        <v>-10</v>
      </c>
    </row>
    <row r="222" spans="2:11" x14ac:dyDescent="0.2">
      <c r="B222" t="s">
        <v>155</v>
      </c>
      <c r="C222" s="8">
        <v>2510</v>
      </c>
      <c r="D222" s="8">
        <v>2535</v>
      </c>
      <c r="E222" s="33">
        <v>2507</v>
      </c>
      <c r="F222" s="17">
        <f ca="1">F219+F221</f>
        <v>2497.5339556900303</v>
      </c>
      <c r="G222" s="17">
        <f t="shared" ref="G222:K222" ca="1" si="127">G219+G221</f>
        <v>2497.620201302967</v>
      </c>
      <c r="H222" s="17">
        <f t="shared" ca="1" si="127"/>
        <v>2504.8834991955227</v>
      </c>
      <c r="I222" s="17">
        <f t="shared" ca="1" si="127"/>
        <v>2517.560069185316</v>
      </c>
      <c r="J222" s="17">
        <f t="shared" ca="1" si="127"/>
        <v>2534.3317254962749</v>
      </c>
      <c r="K222" s="17">
        <f t="shared" ca="1" si="127"/>
        <v>2554.2070451023283</v>
      </c>
    </row>
    <row r="223" spans="2:11" x14ac:dyDescent="0.2">
      <c r="E223" s="32"/>
    </row>
    <row r="224" spans="2:11" x14ac:dyDescent="0.2">
      <c r="B224" s="130" t="s">
        <v>156</v>
      </c>
      <c r="E224" s="32"/>
    </row>
    <row r="225" spans="2:15" x14ac:dyDescent="0.2">
      <c r="B225" t="s">
        <v>157</v>
      </c>
      <c r="C225" s="131">
        <v>84.1</v>
      </c>
      <c r="D225" s="131">
        <v>74.599999999999994</v>
      </c>
      <c r="E225" s="132">
        <v>80</v>
      </c>
      <c r="F225" s="133">
        <v>80</v>
      </c>
      <c r="G225" s="134">
        <f>F225</f>
        <v>80</v>
      </c>
      <c r="H225" s="134">
        <f t="shared" ref="H225:K225" si="128">G225</f>
        <v>80</v>
      </c>
      <c r="I225" s="134">
        <f t="shared" si="128"/>
        <v>80</v>
      </c>
      <c r="J225" s="134">
        <f t="shared" si="128"/>
        <v>80</v>
      </c>
      <c r="K225" s="134">
        <f t="shared" si="128"/>
        <v>80</v>
      </c>
    </row>
    <row r="226" spans="2:15" x14ac:dyDescent="0.2">
      <c r="B226" t="s">
        <v>158</v>
      </c>
      <c r="C226" s="20"/>
      <c r="D226" s="20"/>
      <c r="E226" s="47"/>
      <c r="F226" s="135">
        <f ca="1">F225*F232</f>
        <v>254.3705652675215</v>
      </c>
      <c r="G226" s="135">
        <f t="shared" ref="G226:K226" ca="1" si="129">G225*G232</f>
        <v>335.59812887751639</v>
      </c>
      <c r="H226" s="135">
        <f t="shared" ca="1" si="129"/>
        <v>441.53281124764032</v>
      </c>
      <c r="I226" s="135">
        <f t="shared" ca="1" si="129"/>
        <v>579.50417406282202</v>
      </c>
      <c r="J226" s="135">
        <f t="shared" ca="1" si="129"/>
        <v>758.90075401629304</v>
      </c>
      <c r="K226" s="135">
        <f t="shared" ca="1" si="129"/>
        <v>991.53747174107014</v>
      </c>
      <c r="M226" s="135"/>
    </row>
    <row r="227" spans="2:15" x14ac:dyDescent="0.2">
      <c r="B227" t="s">
        <v>159</v>
      </c>
      <c r="C227" s="136">
        <v>0</v>
      </c>
      <c r="D227" s="136">
        <v>63</v>
      </c>
      <c r="E227" s="137">
        <v>0</v>
      </c>
      <c r="F227" s="108">
        <f ca="1">-F165/F226</f>
        <v>39.466044309969533</v>
      </c>
      <c r="G227" s="108">
        <f t="shared" ref="G227:K227" ca="1" si="130">-G165/G226</f>
        <v>29.913754387063179</v>
      </c>
      <c r="H227" s="108">
        <f t="shared" ca="1" si="130"/>
        <v>22.736702107444231</v>
      </c>
      <c r="I227" s="108">
        <f t="shared" ca="1" si="130"/>
        <v>17.323430010206806</v>
      </c>
      <c r="J227" s="108">
        <f t="shared" ca="1" si="130"/>
        <v>13.22834368904115</v>
      </c>
      <c r="K227" s="108">
        <f t="shared" ca="1" si="130"/>
        <v>10.124680393946404</v>
      </c>
    </row>
    <row r="228" spans="2:15" x14ac:dyDescent="0.2">
      <c r="E228" s="32"/>
    </row>
    <row r="229" spans="2:15" x14ac:dyDescent="0.2">
      <c r="B229" s="117" t="s">
        <v>160</v>
      </c>
      <c r="E229" s="32"/>
    </row>
    <row r="230" spans="2:15" x14ac:dyDescent="0.2">
      <c r="B230" s="75" t="s">
        <v>35</v>
      </c>
      <c r="C230" s="17">
        <f t="shared" ref="C230:K230" si="131">C39</f>
        <v>4332</v>
      </c>
      <c r="D230" s="17">
        <f t="shared" si="131"/>
        <v>9752</v>
      </c>
      <c r="E230" s="54">
        <f t="shared" si="131"/>
        <v>4368</v>
      </c>
      <c r="F230" s="17">
        <f t="shared" ca="1" si="131"/>
        <v>7941.2390510462756</v>
      </c>
      <c r="G230" s="17">
        <f t="shared" ca="1" si="131"/>
        <v>10477.458327549519</v>
      </c>
      <c r="H230" s="17">
        <f t="shared" ca="1" si="131"/>
        <v>13824.853165595321</v>
      </c>
      <c r="I230" s="17">
        <f t="shared" ca="1" si="131"/>
        <v>18236.707106834721</v>
      </c>
      <c r="J230" s="17">
        <f t="shared" ca="1" si="131"/>
        <v>24041.3282175817</v>
      </c>
      <c r="K230" s="17">
        <f t="shared" ca="1" si="131"/>
        <v>31657.3999475499</v>
      </c>
    </row>
    <row r="231" spans="2:15" x14ac:dyDescent="0.2">
      <c r="B231" s="75" t="s">
        <v>155</v>
      </c>
      <c r="C231" s="17">
        <f t="shared" ref="C231:K231" si="132">C222</f>
        <v>2510</v>
      </c>
      <c r="D231" s="25">
        <f t="shared" si="132"/>
        <v>2535</v>
      </c>
      <c r="E231" s="128">
        <f t="shared" si="132"/>
        <v>2507</v>
      </c>
      <c r="F231" s="17">
        <f t="shared" ca="1" si="132"/>
        <v>2497.5339556900303</v>
      </c>
      <c r="G231" s="17">
        <f t="shared" ca="1" si="132"/>
        <v>2497.620201302967</v>
      </c>
      <c r="H231" s="17">
        <f t="shared" ca="1" si="132"/>
        <v>2504.8834991955227</v>
      </c>
      <c r="I231" s="17">
        <f t="shared" ca="1" si="132"/>
        <v>2517.560069185316</v>
      </c>
      <c r="J231" s="17">
        <f t="shared" ca="1" si="132"/>
        <v>2534.3317254962749</v>
      </c>
      <c r="K231" s="17">
        <f t="shared" ca="1" si="132"/>
        <v>2554.2070451023283</v>
      </c>
    </row>
    <row r="232" spans="2:15" x14ac:dyDescent="0.2">
      <c r="B232" s="80" t="s">
        <v>160</v>
      </c>
      <c r="C232" s="138">
        <f t="shared" ref="C232:K232" si="133">C230/C231</f>
        <v>1.7258964143426294</v>
      </c>
      <c r="D232" s="138">
        <f t="shared" si="133"/>
        <v>3.8469428007889546</v>
      </c>
      <c r="E232" s="139">
        <f t="shared" si="133"/>
        <v>1.7423214998005585</v>
      </c>
      <c r="F232" s="138">
        <f t="shared" ca="1" si="133"/>
        <v>3.1796320658440189</v>
      </c>
      <c r="G232" s="138">
        <f t="shared" ca="1" si="133"/>
        <v>4.194976610968955</v>
      </c>
      <c r="H232" s="138">
        <f t="shared" ca="1" si="133"/>
        <v>5.5191601405955044</v>
      </c>
      <c r="I232" s="138">
        <f t="shared" ca="1" si="133"/>
        <v>7.2438021757852757</v>
      </c>
      <c r="J232" s="138">
        <f t="shared" ca="1" si="133"/>
        <v>9.4862594252036629</v>
      </c>
      <c r="K232" s="138">
        <f t="shared" ca="1" si="133"/>
        <v>12.394218396763376</v>
      </c>
    </row>
    <row r="233" spans="2:15" x14ac:dyDescent="0.2">
      <c r="B233" s="26" t="s">
        <v>161</v>
      </c>
      <c r="C233" s="140">
        <f t="shared" ref="C233:E233" si="134">C230/C219</f>
        <v>1.7314148681055155</v>
      </c>
      <c r="D233" s="140">
        <f t="shared" si="134"/>
        <v>3.9577922077922079</v>
      </c>
      <c r="E233" s="141">
        <f t="shared" si="134"/>
        <v>1.735399284862932</v>
      </c>
      <c r="F233" s="140">
        <f ca="1">F230/F219</f>
        <v>3.1669517507534541</v>
      </c>
      <c r="G233" s="140">
        <f t="shared" ref="G233:K233" ca="1" si="135">G230/G219</f>
        <v>4.178247695606137</v>
      </c>
      <c r="H233" s="140">
        <f t="shared" ca="1" si="135"/>
        <v>5.4972141532670218</v>
      </c>
      <c r="I233" s="140">
        <f t="shared" ca="1" si="135"/>
        <v>7.2151429076472091</v>
      </c>
      <c r="J233" s="140">
        <f t="shared" ca="1" si="135"/>
        <v>9.4489755312438319</v>
      </c>
      <c r="K233" s="140">
        <f t="shared" ca="1" si="135"/>
        <v>12.345882914570407</v>
      </c>
    </row>
    <row r="235" spans="2:15" ht="20" x14ac:dyDescent="0.25">
      <c r="B235" s="9" t="s">
        <v>162</v>
      </c>
      <c r="C235" s="9"/>
      <c r="D235" s="9"/>
      <c r="E235" s="9"/>
      <c r="F235" s="9"/>
      <c r="G235" s="9"/>
      <c r="H235" s="9"/>
      <c r="I235" s="9"/>
      <c r="J235" s="9"/>
      <c r="K235" s="9"/>
    </row>
    <row r="236" spans="2:15" x14ac:dyDescent="0.2">
      <c r="C236" s="12">
        <f>EOMONTH(D236,-12)</f>
        <v>44196</v>
      </c>
      <c r="D236" s="12">
        <f>EOMONTH(E236,-12)</f>
        <v>44561</v>
      </c>
      <c r="E236" s="13">
        <v>44926</v>
      </c>
      <c r="F236" s="12">
        <f>EOMONTH(E236,12)</f>
        <v>45291</v>
      </c>
      <c r="G236" s="12">
        <f t="shared" ref="G236:K236" si="136">EOMONTH(F236,12)</f>
        <v>45657</v>
      </c>
      <c r="H236" s="12">
        <f t="shared" si="136"/>
        <v>46022</v>
      </c>
      <c r="I236" s="12">
        <f t="shared" si="136"/>
        <v>46387</v>
      </c>
      <c r="J236" s="12">
        <f t="shared" si="136"/>
        <v>46752</v>
      </c>
      <c r="K236" s="12">
        <f t="shared" si="136"/>
        <v>47118</v>
      </c>
    </row>
    <row r="237" spans="2:15" x14ac:dyDescent="0.2">
      <c r="B237" t="s">
        <v>163</v>
      </c>
      <c r="C237" s="57">
        <v>3214</v>
      </c>
      <c r="D237" s="57">
        <v>4349</v>
      </c>
      <c r="E237" s="127">
        <v>8292</v>
      </c>
      <c r="F237" s="17">
        <f>E237*(1+F244)</f>
        <v>15809.902046447458</v>
      </c>
      <c r="G237" s="17">
        <f t="shared" ref="G237:K237" si="137">F237*(1+G244)</f>
        <v>30143.87394093868</v>
      </c>
      <c r="H237" s="17">
        <f t="shared" si="137"/>
        <v>57473.672733562547</v>
      </c>
      <c r="I237" s="17">
        <f t="shared" si="137"/>
        <v>109581.9025768454</v>
      </c>
      <c r="J237" s="17">
        <f t="shared" si="137"/>
        <v>208933.80918997517</v>
      </c>
      <c r="K237" s="17">
        <f t="shared" si="137"/>
        <v>398362.64562043553</v>
      </c>
    </row>
    <row r="238" spans="2:15" x14ac:dyDescent="0.2">
      <c r="B238" t="s">
        <v>164</v>
      </c>
      <c r="C238" s="57">
        <v>4531</v>
      </c>
      <c r="D238" s="57">
        <v>8544</v>
      </c>
      <c r="E238" s="58">
        <v>6986</v>
      </c>
      <c r="F238" s="17">
        <f>E238*(1+F245)</f>
        <v>5712.1015917602999</v>
      </c>
      <c r="G238" s="17">
        <f>F238*(1+G245)</f>
        <v>4670.4987968208634</v>
      </c>
      <c r="H238" s="17">
        <f>G238*(1+H245)</f>
        <v>3818.8324665953364</v>
      </c>
      <c r="I238" s="17">
        <f>H238*(1+I245)</f>
        <v>3122.467651174511</v>
      </c>
      <c r="J238" s="17">
        <f>I238*(1+J245)</f>
        <v>2553.0850902510692</v>
      </c>
      <c r="K238" s="17">
        <f>J238*(1+K245)</f>
        <v>2087.5295459379649</v>
      </c>
      <c r="O238">
        <f>E241/E238</f>
        <v>3.8611508731749211</v>
      </c>
    </row>
    <row r="239" spans="2:15" x14ac:dyDescent="0.2">
      <c r="B239" t="s">
        <v>165</v>
      </c>
      <c r="C239" s="57">
        <v>3886</v>
      </c>
      <c r="D239" s="57">
        <v>7111</v>
      </c>
      <c r="E239" s="58">
        <v>5785</v>
      </c>
      <c r="F239" s="17"/>
      <c r="G239" s="17"/>
      <c r="H239" s="17"/>
      <c r="I239" s="17"/>
      <c r="J239" s="17"/>
      <c r="K239" s="17"/>
    </row>
    <row r="240" spans="2:15" x14ac:dyDescent="0.2">
      <c r="B240" t="s">
        <v>166</v>
      </c>
      <c r="C240" s="57">
        <v>5044</v>
      </c>
      <c r="D240" s="57">
        <v>6910</v>
      </c>
      <c r="E240" s="58">
        <v>5911</v>
      </c>
      <c r="F240" s="17">
        <f t="shared" ref="F240:K240" si="138">E240*(1+F246)</f>
        <v>5056.4285094066572</v>
      </c>
      <c r="G240" s="17">
        <f t="shared" si="138"/>
        <v>4325.4050534157386</v>
      </c>
      <c r="H240" s="17">
        <f t="shared" si="138"/>
        <v>3700.0679118292956</v>
      </c>
      <c r="I240" s="17">
        <f t="shared" si="138"/>
        <v>3165.137688396956</v>
      </c>
      <c r="J240" s="17">
        <f t="shared" si="138"/>
        <v>2707.5439762828378</v>
      </c>
      <c r="K240" s="17">
        <f t="shared" si="138"/>
        <v>2316.1059976567085</v>
      </c>
      <c r="O240">
        <f>E238/E241</f>
        <v>0.2589901386520353</v>
      </c>
    </row>
    <row r="241" spans="2:11" x14ac:dyDescent="0.2">
      <c r="B241" s="26" t="s">
        <v>167</v>
      </c>
      <c r="C241" s="36">
        <f>SUM(C237:C240)</f>
        <v>16675</v>
      </c>
      <c r="D241" s="36">
        <f t="shared" ref="D241:K241" si="139">SUM(D237:D240)</f>
        <v>26914</v>
      </c>
      <c r="E241" s="59">
        <f t="shared" si="139"/>
        <v>26974</v>
      </c>
      <c r="F241" s="36">
        <f>SUM(F237:F240)</f>
        <v>26578.432147614418</v>
      </c>
      <c r="G241" s="36">
        <f t="shared" si="139"/>
        <v>39139.777791175278</v>
      </c>
      <c r="H241" s="36">
        <f t="shared" si="139"/>
        <v>64992.573111987178</v>
      </c>
      <c r="I241" s="36">
        <f t="shared" si="139"/>
        <v>115869.50791641686</v>
      </c>
      <c r="J241" s="36">
        <f t="shared" si="139"/>
        <v>214194.43825650908</v>
      </c>
      <c r="K241" s="36">
        <f t="shared" si="139"/>
        <v>402766.2811640302</v>
      </c>
    </row>
    <row r="243" spans="2:11" x14ac:dyDescent="0.2">
      <c r="B243" s="130" t="s">
        <v>168</v>
      </c>
    </row>
    <row r="244" spans="2:11" x14ac:dyDescent="0.2">
      <c r="B244" t="s">
        <v>163</v>
      </c>
      <c r="C244" s="20"/>
      <c r="D244" s="89">
        <f>D237/C237-1</f>
        <v>0.35314250155569393</v>
      </c>
      <c r="E244" s="90">
        <f>E237/D237-1</f>
        <v>0.90664520579443542</v>
      </c>
      <c r="F244" s="91">
        <f t="shared" ref="F244:G246" si="140">E244</f>
        <v>0.90664520579443542</v>
      </c>
      <c r="G244" s="89">
        <f t="shared" si="140"/>
        <v>0.90664520579443542</v>
      </c>
      <c r="H244" s="89">
        <f t="shared" ref="H244:K246" si="141">G244</f>
        <v>0.90664520579443542</v>
      </c>
      <c r="I244" s="89">
        <f t="shared" si="141"/>
        <v>0.90664520579443542</v>
      </c>
      <c r="J244" s="89">
        <f t="shared" si="141"/>
        <v>0.90664520579443542</v>
      </c>
      <c r="K244" s="89">
        <f t="shared" si="141"/>
        <v>0.90664520579443542</v>
      </c>
    </row>
    <row r="245" spans="2:11" x14ac:dyDescent="0.2">
      <c r="B245" t="s">
        <v>164</v>
      </c>
      <c r="C245" s="20"/>
      <c r="D245" s="89">
        <f>D238/C238-1</f>
        <v>0.88567645111454429</v>
      </c>
      <c r="E245" s="90">
        <f>E238/D238-1</f>
        <v>-0.18235018726591756</v>
      </c>
      <c r="F245" s="91">
        <f t="shared" si="140"/>
        <v>-0.18235018726591756</v>
      </c>
      <c r="G245" s="89">
        <f t="shared" si="140"/>
        <v>-0.18235018726591756</v>
      </c>
      <c r="H245" s="89">
        <f t="shared" si="141"/>
        <v>-0.18235018726591756</v>
      </c>
      <c r="I245" s="89">
        <f t="shared" si="141"/>
        <v>-0.18235018726591756</v>
      </c>
      <c r="J245" s="89">
        <f t="shared" si="141"/>
        <v>-0.18235018726591756</v>
      </c>
      <c r="K245" s="89">
        <f t="shared" si="141"/>
        <v>-0.18235018726591756</v>
      </c>
    </row>
    <row r="246" spans="2:11" x14ac:dyDescent="0.2">
      <c r="B246" t="s">
        <v>166</v>
      </c>
      <c r="C246" s="20"/>
      <c r="D246" s="89">
        <f t="shared" ref="D246" si="142">D240/C240-1</f>
        <v>0.36994448850118955</v>
      </c>
      <c r="E246" s="90">
        <f t="shared" ref="E246" si="143">E240/D240-1</f>
        <v>-0.14457308248914613</v>
      </c>
      <c r="F246" s="91">
        <f t="shared" si="140"/>
        <v>-0.14457308248914613</v>
      </c>
      <c r="G246" s="89">
        <f t="shared" si="140"/>
        <v>-0.14457308248914613</v>
      </c>
      <c r="H246" s="89">
        <f t="shared" si="141"/>
        <v>-0.14457308248914613</v>
      </c>
      <c r="I246" s="89">
        <f t="shared" si="141"/>
        <v>-0.14457308248914613</v>
      </c>
      <c r="J246" s="89">
        <f t="shared" si="141"/>
        <v>-0.14457308248914613</v>
      </c>
      <c r="K246" s="89">
        <f t="shared" si="141"/>
        <v>-0.14457308248914613</v>
      </c>
    </row>
    <row r="248" spans="2:11" ht="20" x14ac:dyDescent="0.25">
      <c r="B248" s="9" t="s">
        <v>169</v>
      </c>
      <c r="C248" s="9"/>
      <c r="D248" s="9"/>
      <c r="E248" s="9"/>
      <c r="F248" s="9"/>
      <c r="G248" s="9"/>
      <c r="H248" s="9"/>
      <c r="I248" s="9"/>
      <c r="J248" s="9"/>
      <c r="K248" s="9"/>
    </row>
    <row r="250" spans="2:11" x14ac:dyDescent="0.2">
      <c r="C250" s="142" t="s">
        <v>170</v>
      </c>
      <c r="D250" s="3"/>
      <c r="E250" s="3"/>
      <c r="F250" s="3"/>
      <c r="G250" s="3"/>
      <c r="H250" s="3"/>
      <c r="I250" s="3"/>
      <c r="J250" s="3"/>
    </row>
    <row r="251" spans="2:11" ht="16" thickBot="1" x14ac:dyDescent="0.25">
      <c r="C251" s="143"/>
      <c r="D251" s="143" t="s">
        <v>42</v>
      </c>
      <c r="E251" s="143"/>
      <c r="F251" s="143"/>
      <c r="G251" s="143"/>
      <c r="H251" s="143"/>
      <c r="I251" s="143"/>
      <c r="J251" s="143"/>
    </row>
    <row r="252" spans="2:11" ht="16" thickBot="1" x14ac:dyDescent="0.25">
      <c r="C252" s="144">
        <f ca="1">K226</f>
        <v>991.53747174107014</v>
      </c>
      <c r="D252" s="145">
        <v>0.67500000000000004</v>
      </c>
      <c r="E252" s="146">
        <v>0.68</v>
      </c>
      <c r="F252" s="146">
        <v>0.68500000000000005</v>
      </c>
      <c r="G252" s="146">
        <v>0.69</v>
      </c>
      <c r="H252" s="146">
        <v>0.69499999999999995</v>
      </c>
      <c r="I252" s="146">
        <v>0.7</v>
      </c>
      <c r="J252" s="147">
        <v>0.70499999999999996</v>
      </c>
    </row>
    <row r="253" spans="2:11" x14ac:dyDescent="0.2">
      <c r="B253" s="637" t="s">
        <v>171</v>
      </c>
      <c r="C253" s="148">
        <v>0.33500000000000002</v>
      </c>
      <c r="D253" s="149">
        <v>4769.592328551018</v>
      </c>
      <c r="E253" s="150">
        <v>4769.592328551018</v>
      </c>
      <c r="F253" s="150">
        <v>4769.592328551018</v>
      </c>
      <c r="G253" s="150">
        <v>4769.592328551018</v>
      </c>
      <c r="H253" s="150">
        <v>4769.592328551018</v>
      </c>
      <c r="I253" s="150">
        <v>4769.592328551018</v>
      </c>
      <c r="J253" s="151">
        <v>4769.592328551018</v>
      </c>
    </row>
    <row r="254" spans="2:11" x14ac:dyDescent="0.2">
      <c r="B254" s="638"/>
      <c r="C254" s="152">
        <v>0.34</v>
      </c>
      <c r="D254" s="153">
        <v>4769.592328551018</v>
      </c>
      <c r="E254" s="154">
        <v>4769.592328551018</v>
      </c>
      <c r="F254" s="154">
        <v>4769.592328551018</v>
      </c>
      <c r="G254" s="154">
        <v>4769.592328551018</v>
      </c>
      <c r="H254" s="154">
        <v>4769.592328551018</v>
      </c>
      <c r="I254" s="154">
        <v>4769.592328551018</v>
      </c>
      <c r="J254" s="155">
        <v>4769.592328551018</v>
      </c>
    </row>
    <row r="255" spans="2:11" x14ac:dyDescent="0.2">
      <c r="B255" s="638"/>
      <c r="C255" s="152">
        <v>0.34499999999999997</v>
      </c>
      <c r="D255" s="153">
        <v>4769.592328551018</v>
      </c>
      <c r="E255" s="154">
        <v>4769.592328551018</v>
      </c>
      <c r="F255" s="154">
        <v>4769.592328551018</v>
      </c>
      <c r="G255" s="154">
        <v>4769.592328551018</v>
      </c>
      <c r="H255" s="154">
        <v>4769.592328551018</v>
      </c>
      <c r="I255" s="154">
        <v>4769.592328551018</v>
      </c>
      <c r="J255" s="155">
        <v>4769.592328551018</v>
      </c>
    </row>
    <row r="256" spans="2:11" x14ac:dyDescent="0.2">
      <c r="B256" s="638"/>
      <c r="C256" s="152">
        <v>0.35</v>
      </c>
      <c r="D256" s="153">
        <v>4769.592328551018</v>
      </c>
      <c r="E256" s="154">
        <v>4769.592328551018</v>
      </c>
      <c r="F256" s="154">
        <v>4769.592328551018</v>
      </c>
      <c r="G256" s="154">
        <v>4769.592328551018</v>
      </c>
      <c r="H256" s="154">
        <v>4769.592328551018</v>
      </c>
      <c r="I256" s="154">
        <v>4769.592328551018</v>
      </c>
      <c r="J256" s="155">
        <v>4769.592328551018</v>
      </c>
    </row>
    <row r="257" spans="2:13" x14ac:dyDescent="0.2">
      <c r="B257" s="638"/>
      <c r="C257" s="152">
        <v>0.35499999999999998</v>
      </c>
      <c r="D257" s="153">
        <v>4769.592328551018</v>
      </c>
      <c r="E257" s="154">
        <v>4769.592328551018</v>
      </c>
      <c r="F257" s="154">
        <v>4769.592328551018</v>
      </c>
      <c r="G257" s="154">
        <v>4769.592328551018</v>
      </c>
      <c r="H257" s="154">
        <v>4769.592328551018</v>
      </c>
      <c r="I257" s="154">
        <v>4769.592328551018</v>
      </c>
      <c r="J257" s="155">
        <v>4769.592328551018</v>
      </c>
    </row>
    <row r="258" spans="2:13" x14ac:dyDescent="0.2">
      <c r="B258" s="638"/>
      <c r="C258" s="152">
        <v>0.36</v>
      </c>
      <c r="D258" s="153">
        <v>4769.592328551018</v>
      </c>
      <c r="E258" s="154">
        <v>4769.592328551018</v>
      </c>
      <c r="F258" s="154">
        <v>4769.592328551018</v>
      </c>
      <c r="G258" s="154">
        <v>4769.592328551018</v>
      </c>
      <c r="H258" s="154">
        <v>4769.592328551018</v>
      </c>
      <c r="I258" s="154">
        <v>4769.592328551018</v>
      </c>
      <c r="J258" s="155">
        <v>4769.592328551018</v>
      </c>
    </row>
    <row r="259" spans="2:13" ht="16" thickBot="1" x14ac:dyDescent="0.25">
      <c r="B259" s="638"/>
      <c r="C259" s="156">
        <v>0.36499999999999999</v>
      </c>
      <c r="D259" s="157">
        <v>4769.592328551018</v>
      </c>
      <c r="E259" s="158">
        <v>4769.592328551018</v>
      </c>
      <c r="F259" s="158">
        <v>4769.592328551018</v>
      </c>
      <c r="G259" s="158">
        <v>4769.592328551018</v>
      </c>
      <c r="H259" s="158">
        <v>4769.592328551018</v>
      </c>
      <c r="I259" s="158">
        <v>4769.592328551018</v>
      </c>
      <c r="J259" s="159">
        <v>4769.592328551018</v>
      </c>
    </row>
    <row r="261" spans="2:13" ht="20" x14ac:dyDescent="0.25">
      <c r="B261" s="9" t="s">
        <v>172</v>
      </c>
      <c r="C261" s="9"/>
      <c r="D261" s="9"/>
      <c r="E261" s="9"/>
      <c r="F261" s="9"/>
      <c r="G261" s="9"/>
      <c r="H261" s="9"/>
      <c r="I261" s="9"/>
      <c r="J261" s="9"/>
      <c r="K261" s="9"/>
    </row>
    <row r="262" spans="2:13" x14ac:dyDescent="0.2">
      <c r="C262" s="12">
        <f>EOMONTH(D262,-12)</f>
        <v>44196</v>
      </c>
      <c r="D262" s="12">
        <f>EOMONTH(E262,-12)</f>
        <v>44561</v>
      </c>
      <c r="E262" s="13">
        <v>44926</v>
      </c>
      <c r="F262" s="12">
        <f>EOMONTH(E262,12)</f>
        <v>45291</v>
      </c>
      <c r="G262" s="12">
        <f t="shared" ref="G262:K262" si="144">EOMONTH(F262,12)</f>
        <v>45657</v>
      </c>
      <c r="H262" s="12">
        <f t="shared" si="144"/>
        <v>46022</v>
      </c>
      <c r="I262" s="12">
        <f t="shared" si="144"/>
        <v>46387</v>
      </c>
      <c r="J262" s="12">
        <f t="shared" si="144"/>
        <v>46752</v>
      </c>
      <c r="K262" s="12">
        <f t="shared" si="144"/>
        <v>47118</v>
      </c>
      <c r="M262" s="5" t="s">
        <v>173</v>
      </c>
    </row>
    <row r="263" spans="2:13" x14ac:dyDescent="0.2">
      <c r="B263" s="75"/>
      <c r="C263" s="20"/>
      <c r="D263" s="20"/>
      <c r="E263" s="126"/>
      <c r="M263" s="5" t="s">
        <v>174</v>
      </c>
    </row>
    <row r="264" spans="2:13" x14ac:dyDescent="0.2">
      <c r="B264" s="75" t="s">
        <v>175</v>
      </c>
      <c r="C264" s="20"/>
      <c r="D264" s="20"/>
      <c r="E264" s="47"/>
      <c r="F264" s="17">
        <f t="array" ref="F264:K264">TRANSPOSE(F121/M264)</f>
        <v>475.875</v>
      </c>
      <c r="G264" s="17">
        <v>475.875</v>
      </c>
      <c r="H264" s="17">
        <v>475.875</v>
      </c>
      <c r="I264" s="17">
        <v>475.875</v>
      </c>
      <c r="J264" s="17">
        <v>475.875</v>
      </c>
      <c r="K264" s="17">
        <v>475.875</v>
      </c>
      <c r="M264" s="160">
        <v>8</v>
      </c>
    </row>
    <row r="265" spans="2:13" x14ac:dyDescent="0.2">
      <c r="B265" s="75"/>
      <c r="C265" s="20"/>
      <c r="D265" s="20"/>
      <c r="E265" s="47"/>
    </row>
    <row r="266" spans="2:13" x14ac:dyDescent="0.2">
      <c r="B266" s="117" t="s">
        <v>176</v>
      </c>
      <c r="C266" s="20"/>
      <c r="D266" s="20"/>
      <c r="E266" s="47"/>
    </row>
    <row r="267" spans="2:13" x14ac:dyDescent="0.2">
      <c r="B267" s="161">
        <v>2023</v>
      </c>
      <c r="C267" s="20"/>
      <c r="D267" s="20"/>
      <c r="E267" s="47"/>
      <c r="F267" s="17">
        <f t="array" ref="F267:K267">TRANSPOSE(F123/M264)</f>
        <v>306.42972265316399</v>
      </c>
      <c r="G267" s="17">
        <v>306.42972265316399</v>
      </c>
      <c r="H267" s="17">
        <v>306.42972265316399</v>
      </c>
      <c r="I267" s="17">
        <v>306.42972265316399</v>
      </c>
      <c r="J267" s="17">
        <v>306.42972265316399</v>
      </c>
      <c r="K267" s="17">
        <v>306.42972265316399</v>
      </c>
    </row>
    <row r="268" spans="2:13" x14ac:dyDescent="0.2">
      <c r="B268" s="161">
        <f>B267+1</f>
        <v>2024</v>
      </c>
      <c r="C268" s="20"/>
      <c r="D268" s="20"/>
      <c r="E268" s="47"/>
      <c r="F268" s="17"/>
      <c r="G268" s="17">
        <f t="array" ref="G268:K268">TRANSPOSE(G123/M264)</f>
        <v>400.8502664900534</v>
      </c>
      <c r="H268" s="17">
        <v>400.8502664900534</v>
      </c>
      <c r="I268" s="17">
        <v>400.8502664900534</v>
      </c>
      <c r="J268" s="17">
        <v>400.8502664900534</v>
      </c>
      <c r="K268" s="17">
        <v>400.8502664900534</v>
      </c>
    </row>
    <row r="269" spans="2:13" x14ac:dyDescent="0.2">
      <c r="B269" s="161">
        <f t="shared" ref="B269:B271" si="145">B268+1</f>
        <v>2025</v>
      </c>
      <c r="C269" s="20"/>
      <c r="D269" s="20"/>
      <c r="E269" s="47"/>
      <c r="F269" s="17"/>
      <c r="G269" s="17"/>
      <c r="H269" s="17">
        <f t="array" ref="H269:K269">TRANSPOSE(H123/M264)</f>
        <v>524.36472139164971</v>
      </c>
      <c r="I269" s="17">
        <v>524.36472139164971</v>
      </c>
      <c r="J269" s="17">
        <v>524.36472139164971</v>
      </c>
      <c r="K269" s="17">
        <v>524.36472139164971</v>
      </c>
    </row>
    <row r="270" spans="2:13" x14ac:dyDescent="0.2">
      <c r="B270" s="161">
        <f t="shared" si="145"/>
        <v>2026</v>
      </c>
      <c r="C270" s="20"/>
      <c r="D270" s="20"/>
      <c r="E270" s="47"/>
      <c r="F270" s="17"/>
      <c r="G270" s="17"/>
      <c r="H270" s="17"/>
      <c r="I270" s="17">
        <f t="array" ref="I270:K270">TRANSPOSE(I123/M264)</f>
        <v>685.93782772741451</v>
      </c>
      <c r="J270" s="17">
        <v>685.93782772741451</v>
      </c>
      <c r="K270" s="17">
        <v>685.93782772741451</v>
      </c>
    </row>
    <row r="271" spans="2:13" x14ac:dyDescent="0.2">
      <c r="B271" s="161">
        <f t="shared" si="145"/>
        <v>2027</v>
      </c>
      <c r="C271" s="20"/>
      <c r="D271" s="20"/>
      <c r="E271" s="47"/>
      <c r="F271" s="17"/>
      <c r="G271" s="17"/>
      <c r="H271" s="17"/>
      <c r="I271" s="17"/>
      <c r="J271" s="17">
        <f t="array" ref="J271:K271">TRANSPOSE(J123/M264)</f>
        <v>897.29664165560496</v>
      </c>
      <c r="K271" s="17">
        <v>897.29664165560496</v>
      </c>
    </row>
    <row r="272" spans="2:13" x14ac:dyDescent="0.2">
      <c r="B272" s="161">
        <v>2028</v>
      </c>
      <c r="C272" s="20"/>
      <c r="D272" s="20"/>
      <c r="E272" s="47"/>
      <c r="F272" s="17"/>
      <c r="G272" s="17"/>
      <c r="H272" s="17"/>
      <c r="I272" s="17"/>
      <c r="J272" s="17"/>
      <c r="K272" s="17">
        <f>K123/M264</f>
        <v>1173.781690672967</v>
      </c>
    </row>
    <row r="273" spans="2:11" x14ac:dyDescent="0.2">
      <c r="B273" s="75" t="s">
        <v>177</v>
      </c>
      <c r="C273" s="81"/>
      <c r="D273" s="81"/>
      <c r="E273" s="126"/>
      <c r="F273" s="108">
        <f>SUM(F267:F272)</f>
        <v>306.42972265316399</v>
      </c>
      <c r="G273" s="108">
        <f t="shared" ref="G273:K273" si="146">SUM(G267:G272)</f>
        <v>707.27998914321734</v>
      </c>
      <c r="H273" s="108">
        <f t="shared" si="146"/>
        <v>1231.644710534867</v>
      </c>
      <c r="I273" s="108">
        <f t="shared" si="146"/>
        <v>1917.5825382622816</v>
      </c>
      <c r="J273" s="108">
        <f t="shared" si="146"/>
        <v>2814.8791799178866</v>
      </c>
      <c r="K273" s="108">
        <f t="shared" si="146"/>
        <v>3988.6608705908538</v>
      </c>
    </row>
    <row r="274" spans="2:11" x14ac:dyDescent="0.2">
      <c r="B274" s="75"/>
      <c r="C274" s="20"/>
      <c r="D274" s="20"/>
      <c r="E274" s="47"/>
      <c r="F274" s="17"/>
      <c r="G274" s="17"/>
      <c r="H274" s="17"/>
      <c r="I274" s="17"/>
      <c r="J274" s="17"/>
      <c r="K274" s="17"/>
    </row>
    <row r="275" spans="2:11" x14ac:dyDescent="0.2">
      <c r="B275" s="75" t="s">
        <v>178</v>
      </c>
      <c r="C275" s="20"/>
      <c r="D275" s="20"/>
      <c r="E275" s="47"/>
      <c r="F275" s="17">
        <f>SUM(F273,F264)</f>
        <v>782.30472265316394</v>
      </c>
      <c r="G275" s="17">
        <f t="shared" ref="G275:J275" si="147">SUM(G273,G264)</f>
        <v>1183.1549891432173</v>
      </c>
      <c r="H275" s="17">
        <f t="shared" si="147"/>
        <v>1707.519710534867</v>
      </c>
      <c r="I275" s="17">
        <f t="shared" si="147"/>
        <v>2393.4575382622816</v>
      </c>
      <c r="J275" s="17">
        <f t="shared" si="147"/>
        <v>3290.7541799178866</v>
      </c>
      <c r="K275" s="17">
        <f>SUM(K273,K264)</f>
        <v>4464.5358705908538</v>
      </c>
    </row>
  </sheetData>
  <mergeCells count="1">
    <mergeCell ref="B253:B259"/>
  </mergeCells>
  <conditionalFormatting sqref="D253:J259">
    <cfRule type="colorScale" priority="1">
      <colorScale>
        <cfvo type="min"/>
        <cfvo type="max"/>
        <color rgb="FFFF7128"/>
        <color rgb="FFFFEF9C"/>
      </colorScale>
    </cfRule>
  </conditionalFormatting>
  <dataValidations count="2">
    <dataValidation type="list" allowBlank="1" showInputMessage="1" showErrorMessage="1" sqref="C10" xr:uid="{D753F2F5-B4CB-4636-853C-7EEC4706C447}">
      <formula1>$B$46:$B$48</formula1>
    </dataValidation>
    <dataValidation type="list" allowBlank="1" showInputMessage="1" showErrorMessage="1" sqref="F45" xr:uid="{FCC677CC-0CAF-44B3-AC78-FA98B644E707}">
      <formula1>$F$46:$F$48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Button 4">
              <controlPr defaultSize="0" print="0" autoFill="0" autoPict="0" macro="[0]!circularity_break">
                <anchor moveWithCells="1" siz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CB50-9FAF-48A4-96C3-B3F2907A6964}">
  <sheetPr codeName="Sheet2"/>
  <dimension ref="A2:M275"/>
  <sheetViews>
    <sheetView showGridLines="0" workbookViewId="0">
      <selection activeCell="O9" sqref="O9"/>
    </sheetView>
  </sheetViews>
  <sheetFormatPr baseColWidth="10" defaultColWidth="8.83203125" defaultRowHeight="15" x14ac:dyDescent="0.2"/>
  <cols>
    <col min="2" max="2" width="50.1640625" bestFit="1" customWidth="1"/>
    <col min="3" max="3" width="14.5" bestFit="1" customWidth="1"/>
    <col min="4" max="10" width="11.6640625" bestFit="1" customWidth="1"/>
    <col min="11" max="11" width="10.5" bestFit="1" customWidth="1"/>
  </cols>
  <sheetData>
    <row r="2" spans="2:12" ht="26" x14ac:dyDescent="0.3">
      <c r="B2" s="1" t="str">
        <f>"Financial Statement Model for "&amp; C5</f>
        <v>Financial Statement Model for AMD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2">
      <c r="B3" s="4" t="s">
        <v>0</v>
      </c>
    </row>
    <row r="5" spans="2:12" x14ac:dyDescent="0.2">
      <c r="B5" s="5" t="s">
        <v>1</v>
      </c>
      <c r="C5" s="6" t="s">
        <v>179</v>
      </c>
    </row>
    <row r="6" spans="2:12" x14ac:dyDescent="0.2">
      <c r="B6" s="5" t="s">
        <v>3</v>
      </c>
      <c r="C6" s="6" t="s">
        <v>179</v>
      </c>
    </row>
    <row r="7" spans="2:12" x14ac:dyDescent="0.2">
      <c r="B7" s="5" t="s">
        <v>5</v>
      </c>
      <c r="C7" s="597">
        <v>109.45</v>
      </c>
    </row>
    <row r="8" spans="2:12" x14ac:dyDescent="0.2">
      <c r="B8" s="5" t="s">
        <v>6</v>
      </c>
      <c r="C8" s="7">
        <v>45173</v>
      </c>
    </row>
    <row r="9" spans="2:12" x14ac:dyDescent="0.2">
      <c r="B9" s="5" t="s">
        <v>7</v>
      </c>
      <c r="C9" s="7">
        <v>44926</v>
      </c>
      <c r="E9" s="8"/>
    </row>
    <row r="10" spans="2:12" x14ac:dyDescent="0.2">
      <c r="B10" s="5" t="s">
        <v>8</v>
      </c>
      <c r="C10" s="6" t="s">
        <v>9</v>
      </c>
      <c r="D10" t="s">
        <v>10</v>
      </c>
    </row>
    <row r="11" spans="2:12" x14ac:dyDescent="0.2">
      <c r="B11" s="5" t="s">
        <v>11</v>
      </c>
      <c r="C11" s="6">
        <v>1</v>
      </c>
    </row>
    <row r="13" spans="2:12" ht="20" x14ac:dyDescent="0.25">
      <c r="B13" s="9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12" x14ac:dyDescent="0.2">
      <c r="C14" s="12">
        <f>EOMONTH(D14,-12)</f>
        <v>44196</v>
      </c>
      <c r="D14" s="12">
        <f>EOMONTH(E14,-12)</f>
        <v>44561</v>
      </c>
      <c r="E14" s="13">
        <f>$C$9</f>
        <v>44926</v>
      </c>
      <c r="F14" s="12">
        <f>EOMONTH(E14,12)</f>
        <v>45291</v>
      </c>
      <c r="G14" s="12">
        <f t="shared" ref="G14:K14" si="0">EOMONTH(F14,12)</f>
        <v>45657</v>
      </c>
      <c r="H14" s="12">
        <f t="shared" si="0"/>
        <v>46022</v>
      </c>
      <c r="I14" s="12">
        <f t="shared" si="0"/>
        <v>46387</v>
      </c>
      <c r="J14" s="12">
        <f t="shared" si="0"/>
        <v>46752</v>
      </c>
      <c r="K14" s="12">
        <f t="shared" si="0"/>
        <v>47118</v>
      </c>
      <c r="L14" s="14"/>
    </row>
    <row r="15" spans="2:12" x14ac:dyDescent="0.2">
      <c r="B15" t="s">
        <v>13</v>
      </c>
      <c r="C15" s="15">
        <v>9763</v>
      </c>
      <c r="D15" s="15">
        <v>16434</v>
      </c>
      <c r="E15" s="16">
        <v>23601</v>
      </c>
      <c r="F15" s="17">
        <f>E15*(1+INDEX(F46:F48,MATCH($C$10,$B$46:$B$48,0)))</f>
        <v>36810.504930460906</v>
      </c>
      <c r="G15" s="17">
        <f t="shared" ref="G15:K15" si="1">F15*(1+INDEX(G46:G48,MATCH($C$10,$B$46:$B$48,0)))</f>
        <v>57413.383892016718</v>
      </c>
      <c r="H15" s="17">
        <f t="shared" si="1"/>
        <v>89547.716233698826</v>
      </c>
      <c r="I15" s="17">
        <f t="shared" si="1"/>
        <v>139667.66873997223</v>
      </c>
      <c r="J15" s="17">
        <f t="shared" si="1"/>
        <v>217839.81224434252</v>
      </c>
      <c r="K15" s="17">
        <f t="shared" si="1"/>
        <v>339764.98803741572</v>
      </c>
      <c r="L15" s="18"/>
    </row>
    <row r="16" spans="2:12" x14ac:dyDescent="0.2">
      <c r="B16" s="19" t="s">
        <v>14</v>
      </c>
      <c r="C16" s="20"/>
      <c r="D16" s="21">
        <f>(D15-C15)/C15</f>
        <v>0.68329406944586701</v>
      </c>
      <c r="E16" s="22">
        <f>(E15-D15)/D15</f>
        <v>0.43610806863818913</v>
      </c>
      <c r="F16" s="17"/>
      <c r="G16" s="17"/>
      <c r="H16" s="17"/>
      <c r="I16" s="17"/>
      <c r="J16" s="17"/>
      <c r="K16" s="17"/>
      <c r="L16" s="18"/>
    </row>
    <row r="17" spans="1:12" x14ac:dyDescent="0.2">
      <c r="B17" t="s">
        <v>15</v>
      </c>
      <c r="C17" s="23">
        <v>5062</v>
      </c>
      <c r="D17" s="23">
        <v>8042</v>
      </c>
      <c r="E17" s="24">
        <v>10836</v>
      </c>
      <c r="F17" s="25">
        <f t="shared" ref="F17:K17" si="2">F15*(1-F49)</f>
        <v>16900.920784139416</v>
      </c>
      <c r="G17" s="25">
        <f t="shared" si="2"/>
        <v>26360.384214816877</v>
      </c>
      <c r="H17" s="25">
        <f t="shared" si="2"/>
        <v>41114.319440208485</v>
      </c>
      <c r="I17" s="25">
        <f t="shared" si="2"/>
        <v>64126.047983828605</v>
      </c>
      <c r="J17" s="25">
        <f t="shared" si="2"/>
        <v>100017.46559381786</v>
      </c>
      <c r="K17" s="25">
        <f t="shared" si="2"/>
        <v>155997.34800955199</v>
      </c>
      <c r="L17" s="18"/>
    </row>
    <row r="18" spans="1:12" x14ac:dyDescent="0.2">
      <c r="B18" s="26" t="s">
        <v>16</v>
      </c>
      <c r="C18" s="27">
        <f>C15-C17</f>
        <v>4701</v>
      </c>
      <c r="D18" s="27">
        <f t="shared" ref="D18:K18" si="3">D15-D17</f>
        <v>8392</v>
      </c>
      <c r="E18" s="28">
        <f t="shared" si="3"/>
        <v>12765</v>
      </c>
      <c r="F18" s="29">
        <f t="shared" si="3"/>
        <v>19909.584146321489</v>
      </c>
      <c r="G18" s="29">
        <f>G15-G17</f>
        <v>31052.999677199841</v>
      </c>
      <c r="H18" s="29">
        <f t="shared" si="3"/>
        <v>48433.396793490341</v>
      </c>
      <c r="I18" s="29">
        <f t="shared" si="3"/>
        <v>75541.620756143617</v>
      </c>
      <c r="J18" s="29">
        <f t="shared" si="3"/>
        <v>117822.34665052466</v>
      </c>
      <c r="K18" s="29">
        <f t="shared" si="3"/>
        <v>183767.64002786373</v>
      </c>
    </row>
    <row r="19" spans="1:12" x14ac:dyDescent="0.2">
      <c r="B19" s="19" t="s">
        <v>17</v>
      </c>
      <c r="C19" s="30">
        <f>(C15-C17)/C15</f>
        <v>0.48151183038000617</v>
      </c>
      <c r="D19" s="30">
        <f t="shared" ref="D19:E19" si="4">(D15-D17)/D15</f>
        <v>0.51064865522696845</v>
      </c>
      <c r="E19" s="31">
        <f t="shared" si="4"/>
        <v>0.54086691241896534</v>
      </c>
      <c r="F19" s="17"/>
      <c r="G19" s="17"/>
      <c r="H19" s="17"/>
      <c r="I19" s="17"/>
      <c r="J19" s="17"/>
      <c r="K19" s="17"/>
    </row>
    <row r="20" spans="1:12" x14ac:dyDescent="0.2">
      <c r="E20" s="32"/>
      <c r="F20" s="17"/>
      <c r="G20" s="17"/>
      <c r="H20" s="17"/>
      <c r="I20" s="17"/>
      <c r="J20" s="17"/>
      <c r="K20" s="17"/>
    </row>
    <row r="21" spans="1:12" x14ac:dyDescent="0.2">
      <c r="B21" t="s">
        <v>18</v>
      </c>
      <c r="C21" s="172">
        <v>1983</v>
      </c>
      <c r="D21" s="172">
        <v>2845</v>
      </c>
      <c r="E21" s="173">
        <v>5005</v>
      </c>
      <c r="F21" s="17">
        <f>$E$21/$E$23*F23</f>
        <v>7806.3038505553504</v>
      </c>
      <c r="G21" s="17">
        <f t="shared" ref="G21:K21" si="5">$E$21/$E$23*G23</f>
        <v>12175.500460978081</v>
      </c>
      <c r="H21" s="17">
        <f t="shared" si="5"/>
        <v>18990.141085109219</v>
      </c>
      <c r="I21" s="17">
        <f t="shared" si="5"/>
        <v>29618.943351703783</v>
      </c>
      <c r="J21" s="17">
        <f t="shared" si="5"/>
        <v>46196.697609547657</v>
      </c>
      <c r="K21" s="17">
        <f t="shared" si="5"/>
        <v>72053.038647822803</v>
      </c>
    </row>
    <row r="22" spans="1:12" x14ac:dyDescent="0.2">
      <c r="B22" t="s">
        <v>19</v>
      </c>
      <c r="C22" s="172">
        <v>981</v>
      </c>
      <c r="D22" s="172">
        <v>1406</v>
      </c>
      <c r="E22" s="173">
        <v>1884</v>
      </c>
      <c r="F22" s="17">
        <f>$E$22/$E$23*F23</f>
        <v>2938.4768140751808</v>
      </c>
      <c r="G22" s="17">
        <f t="shared" ref="G22:K22" si="6">$E$22/$E$23*G23</f>
        <v>4583.1454282682726</v>
      </c>
      <c r="H22" s="17">
        <f t="shared" si="6"/>
        <v>7148.3368240451082</v>
      </c>
      <c r="I22" s="17">
        <f t="shared" si="6"/>
        <v>11149.268586335649</v>
      </c>
      <c r="J22" s="17">
        <f t="shared" si="6"/>
        <v>17389.526133144413</v>
      </c>
      <c r="K22" s="17">
        <f t="shared" si="6"/>
        <v>27122.462499999627</v>
      </c>
    </row>
    <row r="23" spans="1:12" x14ac:dyDescent="0.2">
      <c r="B23" s="26" t="s">
        <v>20</v>
      </c>
      <c r="C23" s="34">
        <f>C22+C21</f>
        <v>2964</v>
      </c>
      <c r="D23" s="34">
        <f t="shared" ref="D23:E23" si="7">D22+D21</f>
        <v>4251</v>
      </c>
      <c r="E23" s="35">
        <f t="shared" si="7"/>
        <v>6889</v>
      </c>
      <c r="F23" s="36">
        <f t="shared" ref="F23:K23" si="8">F15*F50</f>
        <v>10744.780664630531</v>
      </c>
      <c r="G23" s="36">
        <f t="shared" si="8"/>
        <v>16758.645889246352</v>
      </c>
      <c r="H23" s="36">
        <f t="shared" si="8"/>
        <v>26138.477909154324</v>
      </c>
      <c r="I23" s="36">
        <f t="shared" si="8"/>
        <v>40768.211938039429</v>
      </c>
      <c r="J23" s="36">
        <f t="shared" si="8"/>
        <v>63586.223742692069</v>
      </c>
      <c r="K23" s="36">
        <f t="shared" si="8"/>
        <v>99175.501147822419</v>
      </c>
    </row>
    <row r="24" spans="1:12" x14ac:dyDescent="0.2">
      <c r="B24" s="19" t="s">
        <v>21</v>
      </c>
      <c r="C24" s="30">
        <f>C23/C15</f>
        <v>0.30359520639147802</v>
      </c>
      <c r="D24" s="30">
        <f t="shared" ref="D24:E24" si="9">D23/D15</f>
        <v>0.25867104782767436</v>
      </c>
      <c r="E24" s="31">
        <f t="shared" si="9"/>
        <v>0.29189441125376042</v>
      </c>
      <c r="F24" s="17"/>
      <c r="G24" s="17"/>
      <c r="H24" s="17"/>
      <c r="I24" s="17"/>
      <c r="J24" s="17"/>
      <c r="K24" s="17"/>
    </row>
    <row r="25" spans="1:12" x14ac:dyDescent="0.2">
      <c r="A25" s="26"/>
      <c r="B25" s="37"/>
      <c r="C25" s="37"/>
      <c r="D25" s="37"/>
      <c r="E25" s="38"/>
      <c r="F25" s="39"/>
      <c r="G25" s="39"/>
      <c r="H25" s="39"/>
      <c r="I25" s="39"/>
      <c r="J25" s="39"/>
      <c r="K25" s="17"/>
    </row>
    <row r="26" spans="1:12" x14ac:dyDescent="0.2">
      <c r="B26" s="40" t="s">
        <v>22</v>
      </c>
      <c r="C26" s="41"/>
      <c r="D26" s="41"/>
      <c r="E26" s="42"/>
      <c r="F26" s="17"/>
      <c r="G26" s="17"/>
      <c r="H26" s="17"/>
      <c r="I26" s="17"/>
      <c r="J26" s="17"/>
      <c r="K26" s="17"/>
    </row>
    <row r="27" spans="1:12" x14ac:dyDescent="0.2">
      <c r="B27" s="26" t="s">
        <v>23</v>
      </c>
      <c r="C27" s="34">
        <f>C18-C23</f>
        <v>1737</v>
      </c>
      <c r="D27" s="34">
        <f t="shared" ref="D27:K27" si="10">D18-D23</f>
        <v>4141</v>
      </c>
      <c r="E27" s="35">
        <f t="shared" si="10"/>
        <v>5876</v>
      </c>
      <c r="F27" s="36">
        <f>F18-F23</f>
        <v>9164.8034816909585</v>
      </c>
      <c r="G27" s="36">
        <f t="shared" si="10"/>
        <v>14294.353787953489</v>
      </c>
      <c r="H27" s="36">
        <f t="shared" si="10"/>
        <v>22294.918884336017</v>
      </c>
      <c r="I27" s="36">
        <f t="shared" si="10"/>
        <v>34773.408818104188</v>
      </c>
      <c r="J27" s="36">
        <f t="shared" si="10"/>
        <v>54236.122907832592</v>
      </c>
      <c r="K27" s="36">
        <f t="shared" si="10"/>
        <v>84592.138880041311</v>
      </c>
    </row>
    <row r="28" spans="1:12" x14ac:dyDescent="0.2">
      <c r="B28" s="19" t="s">
        <v>24</v>
      </c>
      <c r="C28" s="30">
        <f>C27/C15</f>
        <v>0.17791662398852812</v>
      </c>
      <c r="D28" s="30">
        <f t="shared" ref="D28:E28" si="11">D27/D15</f>
        <v>0.25197760739929415</v>
      </c>
      <c r="E28" s="31">
        <f t="shared" si="11"/>
        <v>0.24897250116520486</v>
      </c>
      <c r="F28" s="17"/>
      <c r="G28" s="17"/>
      <c r="H28" s="17"/>
      <c r="I28" s="17"/>
      <c r="J28" s="17"/>
      <c r="K28" s="17"/>
    </row>
    <row r="29" spans="1:12" x14ac:dyDescent="0.2">
      <c r="B29" t="s">
        <v>25</v>
      </c>
      <c r="C29" s="15">
        <v>259</v>
      </c>
      <c r="D29" s="15">
        <v>352</v>
      </c>
      <c r="E29" s="16">
        <v>527</v>
      </c>
      <c r="F29" s="17">
        <f>-F123</f>
        <v>450.0194536946417</v>
      </c>
      <c r="G29" s="17">
        <f t="shared" ref="G29:K29" si="12">-G123</f>
        <v>856.9368120293102</v>
      </c>
      <c r="H29" s="17">
        <f t="shared" si="12"/>
        <v>1491.6062508356506</v>
      </c>
      <c r="I29" s="17">
        <f t="shared" si="12"/>
        <v>2481.5008530302039</v>
      </c>
      <c r="J29" s="17">
        <f t="shared" si="12"/>
        <v>4025.4405223119816</v>
      </c>
      <c r="K29" s="17">
        <f t="shared" si="12"/>
        <v>6433.5248750271658</v>
      </c>
    </row>
    <row r="30" spans="1:12" x14ac:dyDescent="0.2">
      <c r="B30" t="s">
        <v>26</v>
      </c>
      <c r="C30" s="23">
        <v>95</v>
      </c>
      <c r="D30" s="23">
        <v>111</v>
      </c>
      <c r="E30" s="24">
        <v>3735</v>
      </c>
      <c r="F30" s="190">
        <f>-F128</f>
        <v>2804</v>
      </c>
      <c r="G30" s="190">
        <f t="shared" ref="G30:K30" si="13">-G128</f>
        <v>2286</v>
      </c>
      <c r="H30" s="190">
        <f t="shared" si="13"/>
        <v>2061</v>
      </c>
      <c r="I30" s="190">
        <f t="shared" si="13"/>
        <v>1951</v>
      </c>
      <c r="J30" s="190">
        <f t="shared" si="13"/>
        <v>1844</v>
      </c>
      <c r="K30" s="190">
        <f t="shared" si="13"/>
        <v>11978</v>
      </c>
    </row>
    <row r="31" spans="1:12" x14ac:dyDescent="0.2">
      <c r="B31" s="26" t="s">
        <v>27</v>
      </c>
      <c r="C31" s="34">
        <f>C27-SUM(C29:C30)</f>
        <v>1383</v>
      </c>
      <c r="D31" s="34">
        <f t="shared" ref="D31:K31" si="14">D27-SUM(D29:D30)</f>
        <v>3678</v>
      </c>
      <c r="E31" s="35">
        <f t="shared" si="14"/>
        <v>1614</v>
      </c>
      <c r="F31" s="70">
        <f>F27-SUM(F29:F30)</f>
        <v>5910.7840279963166</v>
      </c>
      <c r="G31" s="70">
        <f t="shared" si="14"/>
        <v>11151.416975924178</v>
      </c>
      <c r="H31" s="70">
        <f t="shared" si="14"/>
        <v>18742.312633500365</v>
      </c>
      <c r="I31" s="70">
        <f t="shared" si="14"/>
        <v>30340.907965073984</v>
      </c>
      <c r="J31" s="70">
        <f t="shared" si="14"/>
        <v>48366.682385520609</v>
      </c>
      <c r="K31" s="70">
        <f t="shared" si="14"/>
        <v>66180.614005014155</v>
      </c>
    </row>
    <row r="32" spans="1:12" x14ac:dyDescent="0.2">
      <c r="B32" t="s">
        <v>28</v>
      </c>
      <c r="C32" s="15">
        <v>68</v>
      </c>
      <c r="D32" s="15">
        <v>-7</v>
      </c>
      <c r="E32" s="16">
        <v>514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</row>
    <row r="33" spans="2:11" x14ac:dyDescent="0.2">
      <c r="B33" t="s">
        <v>29</v>
      </c>
      <c r="C33" s="15">
        <v>-1</v>
      </c>
      <c r="D33" s="15">
        <v>10</v>
      </c>
      <c r="E33" s="16">
        <v>107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</row>
    <row r="34" spans="2:11" x14ac:dyDescent="0.2">
      <c r="B34" t="s">
        <v>30</v>
      </c>
      <c r="C34" s="15">
        <v>8</v>
      </c>
      <c r="D34" s="15">
        <v>8</v>
      </c>
      <c r="E34" s="16">
        <v>65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</row>
    <row r="35" spans="2:11" x14ac:dyDescent="0.2">
      <c r="B35" t="s">
        <v>31</v>
      </c>
      <c r="C35" s="15">
        <v>47</v>
      </c>
      <c r="D35" s="15">
        <v>34</v>
      </c>
      <c r="E35" s="16">
        <v>88</v>
      </c>
      <c r="F35" s="17">
        <f ca="1">IF($C$11=1, F212,0)</f>
        <v>31.447689517448836</v>
      </c>
      <c r="G35" s="17">
        <f t="shared" ref="G35:K35" ca="1" si="15">IF($C$11=1, G212,0)</f>
        <v>-48.933470351363979</v>
      </c>
      <c r="H35" s="17">
        <f t="shared" ca="1" si="15"/>
        <v>-153.24851883146451</v>
      </c>
      <c r="I35" s="17">
        <f t="shared" ca="1" si="15"/>
        <v>-294.6360090917658</v>
      </c>
      <c r="J35" s="17">
        <f t="shared" ca="1" si="15"/>
        <v>-493.6383167077887</v>
      </c>
      <c r="K35" s="17">
        <f t="shared" ca="1" si="15"/>
        <v>-779.39733642873409</v>
      </c>
    </row>
    <row r="36" spans="2:11" x14ac:dyDescent="0.2">
      <c r="B36" s="26" t="s">
        <v>32</v>
      </c>
      <c r="C36" s="34">
        <f>C31-C32+C33+C34-C35</f>
        <v>1275</v>
      </c>
      <c r="D36" s="34">
        <f t="shared" ref="D36:K36" si="16">D31-D32+D33+D34-D35</f>
        <v>3669</v>
      </c>
      <c r="E36" s="34">
        <f t="shared" si="16"/>
        <v>1184</v>
      </c>
      <c r="F36" s="43">
        <f t="shared" ca="1" si="16"/>
        <v>5879.3363384788681</v>
      </c>
      <c r="G36" s="36">
        <f t="shared" ca="1" si="16"/>
        <v>11200.350446275541</v>
      </c>
      <c r="H36" s="36">
        <f t="shared" ca="1" si="16"/>
        <v>18895.561152331829</v>
      </c>
      <c r="I36" s="36">
        <f t="shared" ca="1" si="16"/>
        <v>30635.54397416575</v>
      </c>
      <c r="J36" s="36">
        <f t="shared" ca="1" si="16"/>
        <v>48860.320702228397</v>
      </c>
      <c r="K36" s="36">
        <f t="shared" ca="1" si="16"/>
        <v>66960.011341442892</v>
      </c>
    </row>
    <row r="37" spans="2:11" x14ac:dyDescent="0.2">
      <c r="B37" t="s">
        <v>180</v>
      </c>
      <c r="C37" s="15">
        <f>-1210+-5</f>
        <v>-1215</v>
      </c>
      <c r="D37" s="15">
        <f>513+-6</f>
        <v>507</v>
      </c>
      <c r="E37" s="16">
        <f>-122+-14</f>
        <v>-136</v>
      </c>
      <c r="F37" s="17">
        <f t="shared" ref="F37:K37" ca="1" si="17">F36*F52</f>
        <v>-675.32917401446457</v>
      </c>
      <c r="G37" s="17">
        <f t="shared" ca="1" si="17"/>
        <v>-1286.5267404505689</v>
      </c>
      <c r="H37" s="17">
        <f t="shared" ca="1" si="17"/>
        <v>-2170.4360783083857</v>
      </c>
      <c r="I37" s="17">
        <f t="shared" ca="1" si="17"/>
        <v>-3518.9476186541742</v>
      </c>
      <c r="J37" s="17">
        <f t="shared" ca="1" si="17"/>
        <v>-5612.3341347154246</v>
      </c>
      <c r="K37" s="17">
        <f t="shared" ca="1" si="17"/>
        <v>-7691.3526540846569</v>
      </c>
    </row>
    <row r="38" spans="2:11" x14ac:dyDescent="0.2">
      <c r="B38" s="19" t="s">
        <v>34</v>
      </c>
      <c r="C38" s="30">
        <f>C37/C36</f>
        <v>-0.95294117647058818</v>
      </c>
      <c r="D38" s="30">
        <f t="shared" ref="D38:E38" si="18">D37/D36</f>
        <v>0.13818479149632051</v>
      </c>
      <c r="E38" s="31">
        <f t="shared" si="18"/>
        <v>-0.11486486486486487</v>
      </c>
      <c r="F38" s="17"/>
      <c r="G38" s="17"/>
      <c r="H38" s="17"/>
      <c r="I38" s="17"/>
      <c r="J38" s="17"/>
      <c r="K38" s="17"/>
    </row>
    <row r="39" spans="2:11" x14ac:dyDescent="0.2">
      <c r="B39" s="26" t="s">
        <v>35</v>
      </c>
      <c r="C39" s="34">
        <f>C36-C37</f>
        <v>2490</v>
      </c>
      <c r="D39" s="34">
        <f t="shared" ref="D39:K39" si="19">D36-D37</f>
        <v>3162</v>
      </c>
      <c r="E39" s="35">
        <f t="shared" si="19"/>
        <v>1320</v>
      </c>
      <c r="F39" s="36">
        <f ca="1">F36-F37</f>
        <v>6554.6655124933332</v>
      </c>
      <c r="G39" s="36">
        <f t="shared" ca="1" si="19"/>
        <v>12486.877186726109</v>
      </c>
      <c r="H39" s="36">
        <f t="shared" ca="1" si="19"/>
        <v>21065.997230640216</v>
      </c>
      <c r="I39" s="36">
        <f t="shared" ca="1" si="19"/>
        <v>34154.491592819926</v>
      </c>
      <c r="J39" s="36">
        <f t="shared" ca="1" si="19"/>
        <v>54472.654836943824</v>
      </c>
      <c r="K39" s="36">
        <f t="shared" ca="1" si="19"/>
        <v>74651.363995527543</v>
      </c>
    </row>
    <row r="41" spans="2:11" x14ac:dyDescent="0.2">
      <c r="B41" s="26" t="s">
        <v>36</v>
      </c>
      <c r="C41" s="44">
        <f t="shared" ref="C41:K41" si="20">C234</f>
        <v>2.1030405405405403</v>
      </c>
      <c r="D41" s="44">
        <f t="shared" si="20"/>
        <v>2.6067600989282771</v>
      </c>
      <c r="E41" s="44">
        <f t="shared" si="20"/>
        <v>0.8456117873158232</v>
      </c>
      <c r="F41" s="45">
        <f t="shared" ca="1" si="20"/>
        <v>4.1285538063335512</v>
      </c>
      <c r="G41" s="44">
        <f t="shared" ca="1" si="20"/>
        <v>7.7957688569626127</v>
      </c>
      <c r="H41" s="44">
        <f t="shared" ca="1" si="20"/>
        <v>13.083194268033777</v>
      </c>
      <c r="I41" s="44">
        <f t="shared" ca="1" si="20"/>
        <v>21.143596396107785</v>
      </c>
      <c r="J41" s="44">
        <f t="shared" ca="1" si="20"/>
        <v>33.653625204406417</v>
      </c>
      <c r="K41" s="44">
        <f t="shared" ca="1" si="20"/>
        <v>46.052241175315821</v>
      </c>
    </row>
    <row r="42" spans="2:11" x14ac:dyDescent="0.2">
      <c r="B42" s="26" t="s">
        <v>37</v>
      </c>
      <c r="C42" s="44">
        <f t="shared" ref="C42:K42" si="21">C233</f>
        <v>2.0629660314830156</v>
      </c>
      <c r="D42" s="44">
        <f t="shared" si="21"/>
        <v>2.5728234336859237</v>
      </c>
      <c r="E42" s="44">
        <f t="shared" si="21"/>
        <v>0.84022915340547422</v>
      </c>
      <c r="F42" s="45">
        <f t="shared" ca="1" si="21"/>
        <v>4.1027122614203995</v>
      </c>
      <c r="G42" s="44">
        <f t="shared" ca="1" si="21"/>
        <v>7.7474005236941208</v>
      </c>
      <c r="H42" s="44">
        <f t="shared" ca="1" si="21"/>
        <v>13.002441637130588</v>
      </c>
      <c r="I42" s="44">
        <f t="shared" ca="1" si="21"/>
        <v>21.013510668660778</v>
      </c>
      <c r="J42" s="44">
        <f t="shared" ca="1" si="21"/>
        <v>33.446987144822607</v>
      </c>
      <c r="K42" s="44">
        <f t="shared" ca="1" si="21"/>
        <v>45.769887872967672</v>
      </c>
    </row>
    <row r="44" spans="2:11" x14ac:dyDescent="0.2">
      <c r="B44" s="40" t="s">
        <v>38</v>
      </c>
    </row>
    <row r="45" spans="2:11" x14ac:dyDescent="0.2">
      <c r="B45" t="s">
        <v>39</v>
      </c>
      <c r="C45" s="20"/>
      <c r="D45" s="30">
        <f>(D15/C15)-1</f>
        <v>0.68329406944586712</v>
      </c>
      <c r="E45" s="31">
        <f>(E15/D15)-1</f>
        <v>0.43610806863818907</v>
      </c>
      <c r="F45" s="46"/>
      <c r="G45" s="30"/>
      <c r="H45" s="30"/>
      <c r="I45" s="30"/>
      <c r="J45" s="30"/>
      <c r="K45" s="30"/>
    </row>
    <row r="46" spans="2:11" x14ac:dyDescent="0.2">
      <c r="B46" s="19" t="s">
        <v>40</v>
      </c>
      <c r="C46" s="20"/>
      <c r="D46" s="20"/>
      <c r="E46" s="47"/>
      <c r="F46" s="48">
        <v>0.65</v>
      </c>
      <c r="G46" s="49">
        <f t="shared" ref="G46:K52" si="22">F46</f>
        <v>0.65</v>
      </c>
      <c r="H46" s="49">
        <f t="shared" si="22"/>
        <v>0.65</v>
      </c>
      <c r="I46" s="49">
        <f t="shared" si="22"/>
        <v>0.65</v>
      </c>
      <c r="J46" s="49">
        <f t="shared" si="22"/>
        <v>0.65</v>
      </c>
      <c r="K46" s="49">
        <f t="shared" si="22"/>
        <v>0.65</v>
      </c>
    </row>
    <row r="47" spans="2:11" x14ac:dyDescent="0.2">
      <c r="B47" s="19" t="s">
        <v>9</v>
      </c>
      <c r="C47" s="20"/>
      <c r="D47" s="50"/>
      <c r="E47" s="51"/>
      <c r="F47" s="52">
        <f>AVERAGE(D16:E16)</f>
        <v>0.5597010690420281</v>
      </c>
      <c r="G47" s="49">
        <f t="shared" si="22"/>
        <v>0.5597010690420281</v>
      </c>
      <c r="H47" s="49">
        <f t="shared" si="22"/>
        <v>0.5597010690420281</v>
      </c>
      <c r="I47" s="49">
        <f t="shared" si="22"/>
        <v>0.5597010690420281</v>
      </c>
      <c r="J47" s="49">
        <f t="shared" si="22"/>
        <v>0.5597010690420281</v>
      </c>
      <c r="K47" s="49">
        <f t="shared" si="22"/>
        <v>0.5597010690420281</v>
      </c>
    </row>
    <row r="48" spans="2:11" x14ac:dyDescent="0.2">
      <c r="B48" s="19" t="s">
        <v>41</v>
      </c>
      <c r="C48" s="20"/>
      <c r="D48" s="20"/>
      <c r="E48" s="47"/>
      <c r="F48" s="52">
        <v>0.15</v>
      </c>
      <c r="G48" s="49">
        <f t="shared" si="22"/>
        <v>0.15</v>
      </c>
      <c r="H48" s="49">
        <f t="shared" si="22"/>
        <v>0.15</v>
      </c>
      <c r="I48" s="49">
        <f t="shared" si="22"/>
        <v>0.15</v>
      </c>
      <c r="J48" s="49">
        <f t="shared" si="22"/>
        <v>0.15</v>
      </c>
      <c r="K48" s="49">
        <f t="shared" si="22"/>
        <v>0.15</v>
      </c>
    </row>
    <row r="49" spans="1:13" x14ac:dyDescent="0.2">
      <c r="B49" t="s">
        <v>42</v>
      </c>
      <c r="C49" s="30">
        <f>C18/C15</f>
        <v>0.48151183038000617</v>
      </c>
      <c r="D49" s="30">
        <f>D18/D15</f>
        <v>0.51064865522696845</v>
      </c>
      <c r="E49" s="31">
        <f>E18/E15</f>
        <v>0.54086691241896534</v>
      </c>
      <c r="F49" s="53">
        <f>E49</f>
        <v>0.54086691241896534</v>
      </c>
      <c r="G49" s="49">
        <f t="shared" si="22"/>
        <v>0.54086691241896534</v>
      </c>
      <c r="H49" s="49">
        <f t="shared" si="22"/>
        <v>0.54086691241896534</v>
      </c>
      <c r="I49" s="49">
        <f t="shared" si="22"/>
        <v>0.54086691241896534</v>
      </c>
      <c r="J49" s="49">
        <f t="shared" si="22"/>
        <v>0.54086691241896534</v>
      </c>
      <c r="K49" s="49">
        <f t="shared" si="22"/>
        <v>0.54086691241896534</v>
      </c>
    </row>
    <row r="50" spans="1:13" x14ac:dyDescent="0.2">
      <c r="B50" t="s">
        <v>43</v>
      </c>
      <c r="C50" s="30">
        <f>C23/C15</f>
        <v>0.30359520639147802</v>
      </c>
      <c r="D50" s="30">
        <f>D23/D15</f>
        <v>0.25867104782767436</v>
      </c>
      <c r="E50" s="31">
        <f>E23/E15</f>
        <v>0.29189441125376042</v>
      </c>
      <c r="F50" s="53">
        <f>E50</f>
        <v>0.29189441125376042</v>
      </c>
      <c r="G50" s="49">
        <f t="shared" si="22"/>
        <v>0.29189441125376042</v>
      </c>
      <c r="H50" s="49">
        <f t="shared" si="22"/>
        <v>0.29189441125376042</v>
      </c>
      <c r="I50" s="49">
        <f t="shared" si="22"/>
        <v>0.29189441125376042</v>
      </c>
      <c r="J50" s="49">
        <f t="shared" si="22"/>
        <v>0.29189441125376042</v>
      </c>
      <c r="K50" s="49">
        <f t="shared" si="22"/>
        <v>0.29189441125376042</v>
      </c>
    </row>
    <row r="51" spans="1:13" x14ac:dyDescent="0.2">
      <c r="B51" t="s">
        <v>24</v>
      </c>
      <c r="C51" s="30">
        <f>C27/C15</f>
        <v>0.17791662398852812</v>
      </c>
      <c r="D51" s="30">
        <f>D27/D15</f>
        <v>0.25197760739929415</v>
      </c>
      <c r="E51" s="31">
        <f>E27/E15</f>
        <v>0.24897250116520486</v>
      </c>
      <c r="F51" s="53">
        <f>E51</f>
        <v>0.24897250116520486</v>
      </c>
      <c r="G51" s="49">
        <f t="shared" si="22"/>
        <v>0.24897250116520486</v>
      </c>
      <c r="H51" s="49">
        <f t="shared" si="22"/>
        <v>0.24897250116520486</v>
      </c>
      <c r="I51" s="49">
        <f t="shared" si="22"/>
        <v>0.24897250116520486</v>
      </c>
      <c r="J51" s="49">
        <f t="shared" si="22"/>
        <v>0.24897250116520486</v>
      </c>
      <c r="K51" s="49">
        <f t="shared" si="22"/>
        <v>0.24897250116520486</v>
      </c>
    </row>
    <row r="52" spans="1:13" x14ac:dyDescent="0.2">
      <c r="B52" t="s">
        <v>44</v>
      </c>
      <c r="C52" s="30">
        <f>C37/C36</f>
        <v>-0.95294117647058818</v>
      </c>
      <c r="D52" s="30">
        <f>D37/D36</f>
        <v>0.13818479149632051</v>
      </c>
      <c r="E52" s="31">
        <f>E37/E36</f>
        <v>-0.11486486486486487</v>
      </c>
      <c r="F52" s="53">
        <f>E52</f>
        <v>-0.11486486486486487</v>
      </c>
      <c r="G52" s="49">
        <f t="shared" si="22"/>
        <v>-0.11486486486486487</v>
      </c>
      <c r="H52" s="49">
        <f t="shared" si="22"/>
        <v>-0.11486486486486487</v>
      </c>
      <c r="I52" s="49">
        <f t="shared" si="22"/>
        <v>-0.11486486486486487</v>
      </c>
      <c r="J52" s="49">
        <f t="shared" si="22"/>
        <v>-0.11486486486486487</v>
      </c>
      <c r="K52" s="49">
        <f t="shared" si="22"/>
        <v>-0.11486486486486487</v>
      </c>
    </row>
    <row r="55" spans="1:13" ht="20" x14ac:dyDescent="0.25">
      <c r="B55" s="9" t="s">
        <v>45</v>
      </c>
      <c r="C55" s="2"/>
      <c r="D55" s="2"/>
      <c r="E55" s="2"/>
      <c r="F55" s="2"/>
      <c r="G55" s="2"/>
      <c r="H55" s="2"/>
      <c r="I55" s="2"/>
      <c r="J55" s="2"/>
      <c r="K55" s="2"/>
    </row>
    <row r="56" spans="1:13" x14ac:dyDescent="0.2">
      <c r="A56" s="14"/>
      <c r="B56" s="14"/>
      <c r="C56" s="12">
        <f>EOMONTH(D56,-12)</f>
        <v>44196</v>
      </c>
      <c r="D56" s="12">
        <f>EOMONTH(E56,-12)</f>
        <v>44561</v>
      </c>
      <c r="E56" s="13">
        <f>$C$9</f>
        <v>44926</v>
      </c>
      <c r="F56" s="12">
        <f>EOMONTH(E56,12)</f>
        <v>45291</v>
      </c>
      <c r="G56" s="12">
        <f t="shared" ref="G56:K56" si="23">EOMONTH(F56,12)</f>
        <v>45657</v>
      </c>
      <c r="H56" s="12">
        <f t="shared" si="23"/>
        <v>46022</v>
      </c>
      <c r="I56" s="12">
        <f t="shared" si="23"/>
        <v>46387</v>
      </c>
      <c r="J56" s="12">
        <f t="shared" si="23"/>
        <v>46752</v>
      </c>
      <c r="K56" s="12">
        <f t="shared" si="23"/>
        <v>47118</v>
      </c>
      <c r="L56" s="14"/>
      <c r="M56" s="14"/>
    </row>
    <row r="57" spans="1:13" x14ac:dyDescent="0.2">
      <c r="B57" s="40" t="s">
        <v>46</v>
      </c>
      <c r="C57" s="17"/>
      <c r="D57" s="17"/>
      <c r="E57" s="54"/>
      <c r="F57" s="55"/>
      <c r="G57" s="55"/>
      <c r="H57" s="55"/>
      <c r="I57" s="55"/>
      <c r="J57" s="55"/>
      <c r="K57" s="55"/>
    </row>
    <row r="58" spans="1:13" x14ac:dyDescent="0.2">
      <c r="B58" s="56" t="s">
        <v>47</v>
      </c>
      <c r="C58" s="57">
        <v>2290</v>
      </c>
      <c r="D58" s="57">
        <v>3608</v>
      </c>
      <c r="E58" s="58">
        <v>5855</v>
      </c>
      <c r="F58" s="57">
        <f ca="1">F159</f>
        <v>20051.124193020463</v>
      </c>
      <c r="G58" s="17">
        <f ca="1">G159</f>
        <v>38007.463947525124</v>
      </c>
      <c r="H58" s="17">
        <f ca="1">H159</f>
        <v>61777.143585060679</v>
      </c>
      <c r="I58" s="17">
        <f t="shared" ref="I58:K58" ca="1" si="24">I159</f>
        <v>94562.460051645627</v>
      </c>
      <c r="J58" s="17">
        <f t="shared" ca="1" si="24"/>
        <v>141378.06663146982</v>
      </c>
      <c r="K58" s="17">
        <f t="shared" ca="1" si="24"/>
        <v>208866.06794002382</v>
      </c>
    </row>
    <row r="59" spans="1:13" x14ac:dyDescent="0.2">
      <c r="B59" s="56" t="s">
        <v>48</v>
      </c>
      <c r="C59" s="174">
        <v>0</v>
      </c>
      <c r="D59" s="174">
        <v>0</v>
      </c>
      <c r="E59" s="175">
        <v>0</v>
      </c>
      <c r="F59" s="57">
        <v>19218</v>
      </c>
      <c r="G59" s="17">
        <v>19218</v>
      </c>
      <c r="H59" s="17">
        <v>19218</v>
      </c>
      <c r="I59" s="17">
        <v>19218</v>
      </c>
      <c r="J59" s="17">
        <v>19218</v>
      </c>
      <c r="K59" s="17">
        <v>19218</v>
      </c>
    </row>
    <row r="60" spans="1:13" x14ac:dyDescent="0.2">
      <c r="B60" s="56" t="s">
        <v>49</v>
      </c>
      <c r="C60" s="57">
        <v>2076</v>
      </c>
      <c r="D60" s="57">
        <v>2708</v>
      </c>
      <c r="E60" s="58">
        <v>4128</v>
      </c>
      <c r="F60" s="17">
        <f>F100</f>
        <v>6454.4447001356111</v>
      </c>
      <c r="G60" s="17">
        <f t="shared" ref="G60:K62" si="25">G100</f>
        <v>10067.004298874164</v>
      </c>
      <c r="H60" s="17">
        <f t="shared" si="25"/>
        <v>15701.517367004726</v>
      </c>
      <c r="I60" s="17">
        <f t="shared" si="25"/>
        <v>24489.673422899239</v>
      </c>
      <c r="J60" s="17">
        <f t="shared" si="25"/>
        <v>38196.569818186086</v>
      </c>
      <c r="K60" s="17">
        <f t="shared" si="25"/>
        <v>59575.230779163307</v>
      </c>
    </row>
    <row r="61" spans="1:13" x14ac:dyDescent="0.2">
      <c r="B61" s="56" t="s">
        <v>50</v>
      </c>
      <c r="C61" s="57">
        <v>1399</v>
      </c>
      <c r="D61" s="57">
        <v>1955</v>
      </c>
      <c r="E61" s="58">
        <v>3771</v>
      </c>
      <c r="F61" s="17">
        <f>F101</f>
        <v>5827.9037186687647</v>
      </c>
      <c r="G61" s="17">
        <f t="shared" si="25"/>
        <v>9089.7876602816814</v>
      </c>
      <c r="H61" s="17">
        <f t="shared" si="25"/>
        <v>14177.351531106375</v>
      </c>
      <c r="I61" s="17">
        <f t="shared" si="25"/>
        <v>22112.430339251245</v>
      </c>
      <c r="J61" s="17">
        <f t="shared" si="25"/>
        <v>34488.781239247539</v>
      </c>
      <c r="K61" s="17">
        <f t="shared" si="25"/>
        <v>53792.188968811031</v>
      </c>
    </row>
    <row r="62" spans="1:13" x14ac:dyDescent="0.2">
      <c r="B62" s="56" t="s">
        <v>181</v>
      </c>
      <c r="C62" s="174">
        <v>378</v>
      </c>
      <c r="D62" s="174">
        <v>312</v>
      </c>
      <c r="E62" s="175">
        <v>1265</v>
      </c>
      <c r="F62" s="17">
        <f>F102</f>
        <v>1973.0430642727047</v>
      </c>
      <c r="G62" s="17">
        <f t="shared" si="25"/>
        <v>3077.3573766120962</v>
      </c>
      <c r="H62" s="17">
        <f t="shared" si="25"/>
        <v>4799.7575901262571</v>
      </c>
      <c r="I62" s="17">
        <f t="shared" si="25"/>
        <v>7486.1870444625119</v>
      </c>
      <c r="J62" s="17">
        <f t="shared" si="25"/>
        <v>11676.213936296759</v>
      </c>
      <c r="K62" s="17">
        <f t="shared" si="25"/>
        <v>18211.403358805484</v>
      </c>
    </row>
    <row r="63" spans="1:13" x14ac:dyDescent="0.2">
      <c r="B63" s="26" t="s">
        <v>52</v>
      </c>
      <c r="C63" s="36">
        <f>SUM(C58:C62)</f>
        <v>6143</v>
      </c>
      <c r="D63" s="36">
        <f t="shared" ref="D63:K63" si="26">SUM(D58:D62)</f>
        <v>8583</v>
      </c>
      <c r="E63" s="59">
        <f t="shared" si="26"/>
        <v>15019</v>
      </c>
      <c r="F63" s="36">
        <f t="shared" ca="1" si="26"/>
        <v>53524.515676097544</v>
      </c>
      <c r="G63" s="36">
        <f t="shared" ca="1" si="26"/>
        <v>79459.613283293074</v>
      </c>
      <c r="H63" s="36">
        <f t="shared" ca="1" si="26"/>
        <v>115673.77007329803</v>
      </c>
      <c r="I63" s="36">
        <f t="shared" ca="1" si="26"/>
        <v>167868.7508582586</v>
      </c>
      <c r="J63" s="36">
        <f t="shared" ca="1" si="26"/>
        <v>244957.63162520019</v>
      </c>
      <c r="K63" s="36">
        <f t="shared" ca="1" si="26"/>
        <v>359662.89104680362</v>
      </c>
    </row>
    <row r="64" spans="1:13" x14ac:dyDescent="0.2">
      <c r="C64" s="17"/>
      <c r="D64" s="17"/>
      <c r="E64" s="54"/>
      <c r="F64" s="17"/>
      <c r="G64" s="17"/>
      <c r="H64" s="17"/>
      <c r="I64" s="17"/>
      <c r="J64" s="17"/>
      <c r="K64" s="17"/>
    </row>
    <row r="65" spans="2:11" x14ac:dyDescent="0.2">
      <c r="B65" t="s">
        <v>53</v>
      </c>
      <c r="C65" s="174">
        <v>641</v>
      </c>
      <c r="D65" s="174">
        <v>702</v>
      </c>
      <c r="E65" s="122">
        <v>1513</v>
      </c>
      <c r="F65" s="17">
        <f>F125</f>
        <v>3150.1361758624917</v>
      </c>
      <c r="G65" s="17">
        <f t="shared" ref="G65:K65" si="27">G125</f>
        <v>5548.5382305105295</v>
      </c>
      <c r="H65" s="17">
        <f t="shared" si="27"/>
        <v>9134.2874901256018</v>
      </c>
      <c r="I65" s="17">
        <f t="shared" si="27"/>
        <v>14571.943454651824</v>
      </c>
      <c r="J65" s="17">
        <f t="shared" si="27"/>
        <v>22898.020286594066</v>
      </c>
      <c r="K65" s="17">
        <f t="shared" si="27"/>
        <v>35729.170233288372</v>
      </c>
    </row>
    <row r="66" spans="2:11" x14ac:dyDescent="0.2">
      <c r="B66" t="s">
        <v>54</v>
      </c>
      <c r="C66" s="174">
        <v>208</v>
      </c>
      <c r="D66" s="174">
        <v>367</v>
      </c>
      <c r="E66" s="122">
        <v>460</v>
      </c>
      <c r="F66" s="17"/>
      <c r="G66" s="17"/>
      <c r="H66" s="17"/>
      <c r="I66" s="17"/>
      <c r="J66" s="17"/>
      <c r="K66" s="17"/>
    </row>
    <row r="67" spans="2:11" x14ac:dyDescent="0.2">
      <c r="B67" t="s">
        <v>55</v>
      </c>
      <c r="C67" s="174">
        <v>289</v>
      </c>
      <c r="D67" s="174">
        <v>289</v>
      </c>
      <c r="E67" s="122">
        <v>24177</v>
      </c>
      <c r="F67" s="17">
        <f t="shared" ref="F67:K67" si="28">F132</f>
        <v>24177</v>
      </c>
      <c r="G67" s="17">
        <f t="shared" si="28"/>
        <v>24177</v>
      </c>
      <c r="H67" s="17">
        <f t="shared" si="28"/>
        <v>24177</v>
      </c>
      <c r="I67" s="17">
        <f t="shared" si="28"/>
        <v>24177</v>
      </c>
      <c r="J67" s="17">
        <f t="shared" si="28"/>
        <v>24177</v>
      </c>
      <c r="K67" s="17">
        <f t="shared" si="28"/>
        <v>24177</v>
      </c>
    </row>
    <row r="68" spans="2:11" x14ac:dyDescent="0.2">
      <c r="B68" t="s">
        <v>56</v>
      </c>
      <c r="C68" s="174">
        <v>0</v>
      </c>
      <c r="D68" s="174">
        <v>0</v>
      </c>
      <c r="E68" s="122">
        <v>24118</v>
      </c>
      <c r="F68" s="17">
        <f t="shared" ref="F68:K68" si="29">F130</f>
        <v>21314</v>
      </c>
      <c r="G68" s="17">
        <f t="shared" si="29"/>
        <v>19028</v>
      </c>
      <c r="H68" s="17">
        <f t="shared" si="29"/>
        <v>16967</v>
      </c>
      <c r="I68" s="17">
        <f t="shared" si="29"/>
        <v>15016</v>
      </c>
      <c r="J68" s="17">
        <f t="shared" si="29"/>
        <v>13172</v>
      </c>
      <c r="K68" s="17">
        <f t="shared" si="29"/>
        <v>1194</v>
      </c>
    </row>
    <row r="69" spans="2:11" x14ac:dyDescent="0.2">
      <c r="B69" t="s">
        <v>57</v>
      </c>
      <c r="C69" s="174">
        <v>1245</v>
      </c>
      <c r="D69" s="174">
        <v>931</v>
      </c>
      <c r="E69" s="122">
        <v>58</v>
      </c>
      <c r="F69" s="57">
        <v>1222</v>
      </c>
      <c r="G69" s="17">
        <v>1222</v>
      </c>
      <c r="H69" s="17">
        <v>1222</v>
      </c>
      <c r="I69" s="17">
        <v>1222</v>
      </c>
      <c r="J69" s="17">
        <v>1222</v>
      </c>
      <c r="K69" s="17">
        <v>1222</v>
      </c>
    </row>
    <row r="70" spans="2:11" x14ac:dyDescent="0.2">
      <c r="B70" t="s">
        <v>182</v>
      </c>
      <c r="C70" s="174">
        <v>63</v>
      </c>
      <c r="D70" s="174">
        <v>69</v>
      </c>
      <c r="E70" s="122">
        <v>83</v>
      </c>
      <c r="F70" s="57"/>
      <c r="G70" s="17"/>
      <c r="H70" s="17"/>
      <c r="I70" s="17"/>
      <c r="J70" s="17"/>
      <c r="K70" s="17"/>
    </row>
    <row r="71" spans="2:11" x14ac:dyDescent="0.2">
      <c r="B71" t="s">
        <v>58</v>
      </c>
      <c r="C71" s="174">
        <v>373</v>
      </c>
      <c r="D71" s="174">
        <v>1478</v>
      </c>
      <c r="E71" s="122">
        <v>2152</v>
      </c>
      <c r="F71" s="57">
        <v>3841</v>
      </c>
      <c r="G71" s="17">
        <v>3841</v>
      </c>
      <c r="H71" s="17">
        <v>3841</v>
      </c>
      <c r="I71" s="17">
        <v>3841</v>
      </c>
      <c r="J71" s="17">
        <v>3841</v>
      </c>
      <c r="K71" s="17">
        <v>3841</v>
      </c>
    </row>
    <row r="72" spans="2:11" x14ac:dyDescent="0.2">
      <c r="B72" s="26" t="s">
        <v>59</v>
      </c>
      <c r="C72" s="36">
        <f>SUM(C65:C71)+C63</f>
        <v>8962</v>
      </c>
      <c r="D72" s="36">
        <f t="shared" ref="D72:K72" si="30">SUM(D65:D71)+D63</f>
        <v>12419</v>
      </c>
      <c r="E72" s="59">
        <f t="shared" si="30"/>
        <v>67580</v>
      </c>
      <c r="F72" s="36">
        <f t="shared" ca="1" si="30"/>
        <v>107228.65185196004</v>
      </c>
      <c r="G72" s="36">
        <f t="shared" ca="1" si="30"/>
        <v>133276.1515138036</v>
      </c>
      <c r="H72" s="36">
        <f t="shared" ca="1" si="30"/>
        <v>171015.05756342364</v>
      </c>
      <c r="I72" s="36">
        <f t="shared" ca="1" si="30"/>
        <v>226696.69431291043</v>
      </c>
      <c r="J72" s="36">
        <f t="shared" ca="1" si="30"/>
        <v>310267.65191179427</v>
      </c>
      <c r="K72" s="36">
        <f t="shared" ca="1" si="30"/>
        <v>425826.06128009199</v>
      </c>
    </row>
    <row r="73" spans="2:11" x14ac:dyDescent="0.2">
      <c r="C73" s="17"/>
      <c r="D73" s="17"/>
      <c r="E73" s="54"/>
      <c r="F73" s="17"/>
      <c r="G73" s="17"/>
      <c r="H73" s="17"/>
      <c r="I73" s="17"/>
      <c r="J73" s="17"/>
      <c r="K73" s="17"/>
    </row>
    <row r="74" spans="2:11" x14ac:dyDescent="0.2">
      <c r="B74" s="40" t="s">
        <v>60</v>
      </c>
      <c r="C74" s="17"/>
      <c r="D74" s="17"/>
      <c r="E74" s="54"/>
      <c r="F74" s="17"/>
      <c r="G74" s="17"/>
      <c r="H74" s="17"/>
      <c r="I74" s="17"/>
      <c r="J74" s="17"/>
      <c r="K74" s="17"/>
    </row>
    <row r="75" spans="2:11" x14ac:dyDescent="0.2">
      <c r="B75" t="s">
        <v>61</v>
      </c>
      <c r="C75" s="121">
        <v>468</v>
      </c>
      <c r="D75" s="121">
        <v>1321</v>
      </c>
      <c r="E75" s="122">
        <v>2493</v>
      </c>
      <c r="F75" s="55">
        <f>F105</f>
        <v>3889.52697498003</v>
      </c>
      <c r="G75" s="55">
        <f t="shared" ref="G75:K76" si="31">G105</f>
        <v>6066.4993809441576</v>
      </c>
      <c r="H75" s="55">
        <f t="shared" si="31"/>
        <v>9461.925569801404</v>
      </c>
      <c r="I75" s="55">
        <f t="shared" si="31"/>
        <v>14757.77542641535</v>
      </c>
      <c r="J75" s="55">
        <f t="shared" si="31"/>
        <v>23017.718109262194</v>
      </c>
      <c r="K75" s="55">
        <f t="shared" si="31"/>
        <v>35900.759541924293</v>
      </c>
    </row>
    <row r="76" spans="2:11" x14ac:dyDescent="0.2">
      <c r="B76" s="62" t="s">
        <v>62</v>
      </c>
      <c r="C76" s="121">
        <f>78+1796+75</f>
        <v>1949</v>
      </c>
      <c r="D76" s="121">
        <f>85+2424+312+98</f>
        <v>2919</v>
      </c>
      <c r="E76" s="122">
        <f>3077+463+336</f>
        <v>3876</v>
      </c>
      <c r="F76" s="55">
        <f>F106</f>
        <v>6045.45936448667</v>
      </c>
      <c r="G76" s="55">
        <f t="shared" si="31"/>
        <v>9429.1094336399965</v>
      </c>
      <c r="H76" s="55">
        <f t="shared" si="31"/>
        <v>14706.592063762575</v>
      </c>
      <c r="I76" s="55">
        <f t="shared" si="31"/>
        <v>22937.887363815495</v>
      </c>
      <c r="J76" s="55">
        <f t="shared" si="31"/>
        <v>35776.247442908651</v>
      </c>
      <c r="K76" s="55">
        <f t="shared" si="31"/>
        <v>55800.251383016752</v>
      </c>
    </row>
    <row r="77" spans="2:11" x14ac:dyDescent="0.2">
      <c r="B77" s="62" t="s">
        <v>63</v>
      </c>
      <c r="C77" s="121">
        <v>0</v>
      </c>
      <c r="D77" s="121">
        <v>0</v>
      </c>
      <c r="E77" s="122">
        <v>0</v>
      </c>
      <c r="F77" s="174">
        <v>0</v>
      </c>
      <c r="G77" s="55">
        <v>0</v>
      </c>
      <c r="H77" s="55">
        <v>0</v>
      </c>
      <c r="I77" s="55">
        <v>0</v>
      </c>
      <c r="J77" s="55">
        <v>0</v>
      </c>
      <c r="K77" s="55">
        <v>0</v>
      </c>
    </row>
    <row r="78" spans="2:11" x14ac:dyDescent="0.2">
      <c r="B78" s="63" t="s">
        <v>64</v>
      </c>
      <c r="C78" s="64">
        <f>SUM(C75:C77)</f>
        <v>2417</v>
      </c>
      <c r="D78" s="64">
        <f t="shared" ref="D78:K78" si="32">SUM(D75:D77)</f>
        <v>4240</v>
      </c>
      <c r="E78" s="65">
        <f t="shared" si="32"/>
        <v>6369</v>
      </c>
      <c r="F78" s="64">
        <f t="shared" si="32"/>
        <v>9934.9863394667009</v>
      </c>
      <c r="G78" s="64">
        <f t="shared" si="32"/>
        <v>15495.608814584153</v>
      </c>
      <c r="H78" s="64">
        <f t="shared" si="32"/>
        <v>24168.517633563977</v>
      </c>
      <c r="I78" s="64">
        <f t="shared" si="32"/>
        <v>37695.662790230846</v>
      </c>
      <c r="J78" s="64">
        <f t="shared" si="32"/>
        <v>58793.965552170848</v>
      </c>
      <c r="K78" s="64">
        <f t="shared" si="32"/>
        <v>91701.010924941045</v>
      </c>
    </row>
    <row r="79" spans="2:11" x14ac:dyDescent="0.2">
      <c r="C79" s="17"/>
      <c r="D79" s="17"/>
      <c r="E79" s="54"/>
      <c r="F79" s="17"/>
      <c r="G79" s="17"/>
      <c r="H79" s="17"/>
      <c r="I79" s="17"/>
      <c r="J79" s="17"/>
      <c r="K79" s="17"/>
    </row>
    <row r="80" spans="2:11" x14ac:dyDescent="0.2">
      <c r="B80" s="62" t="s">
        <v>65</v>
      </c>
      <c r="C80" s="61">
        <v>330</v>
      </c>
      <c r="D80" s="61">
        <v>1</v>
      </c>
      <c r="E80" s="60">
        <v>2467</v>
      </c>
      <c r="F80" s="57">
        <f t="shared" ref="F80:K80" si="33">F193</f>
        <v>2467</v>
      </c>
      <c r="G80" s="17">
        <f t="shared" si="33"/>
        <v>2467</v>
      </c>
      <c r="H80" s="17">
        <f t="shared" si="33"/>
        <v>2467</v>
      </c>
      <c r="I80" s="17">
        <f t="shared" si="33"/>
        <v>2467</v>
      </c>
      <c r="J80" s="17">
        <f t="shared" si="33"/>
        <v>2467</v>
      </c>
      <c r="K80" s="17">
        <f t="shared" si="33"/>
        <v>2467</v>
      </c>
    </row>
    <row r="81" spans="2:11" x14ac:dyDescent="0.2">
      <c r="B81" s="62" t="s">
        <v>66</v>
      </c>
      <c r="C81" s="61">
        <v>201</v>
      </c>
      <c r="D81" s="61">
        <v>634</v>
      </c>
      <c r="E81" s="60">
        <v>741</v>
      </c>
      <c r="F81" s="57">
        <v>741</v>
      </c>
      <c r="G81" s="17">
        <v>741</v>
      </c>
      <c r="H81" s="17">
        <v>741</v>
      </c>
      <c r="I81" s="17">
        <v>741</v>
      </c>
      <c r="J81" s="17">
        <v>741</v>
      </c>
      <c r="K81" s="17">
        <v>741</v>
      </c>
    </row>
    <row r="82" spans="2:11" x14ac:dyDescent="0.2">
      <c r="B82" s="62" t="s">
        <v>67</v>
      </c>
      <c r="C82" s="61">
        <v>177</v>
      </c>
      <c r="D82" s="61">
        <v>1375</v>
      </c>
      <c r="E82" s="60">
        <v>1553</v>
      </c>
      <c r="F82" s="57">
        <v>1553</v>
      </c>
      <c r="G82" s="17">
        <v>1553</v>
      </c>
      <c r="H82" s="17">
        <v>1553</v>
      </c>
      <c r="I82" s="17">
        <v>1553</v>
      </c>
      <c r="J82" s="17">
        <v>1553</v>
      </c>
      <c r="K82" s="17">
        <v>1553</v>
      </c>
    </row>
    <row r="83" spans="2:11" x14ac:dyDescent="0.2">
      <c r="B83" s="63" t="s">
        <v>68</v>
      </c>
      <c r="C83" s="36">
        <f>SUM(C78,C80:C82)</f>
        <v>3125</v>
      </c>
      <c r="D83" s="36">
        <f>SUM(D78,D80:D82)</f>
        <v>6250</v>
      </c>
      <c r="E83" s="59">
        <f>SUM(E78,E80:E82)</f>
        <v>11130</v>
      </c>
      <c r="F83" s="36">
        <f t="shared" ref="F83:K83" si="34">SUM(F75:F82)</f>
        <v>24630.972678933402</v>
      </c>
      <c r="G83" s="36">
        <f t="shared" si="34"/>
        <v>35752.217629168306</v>
      </c>
      <c r="H83" s="36">
        <f t="shared" si="34"/>
        <v>53098.035267127954</v>
      </c>
      <c r="I83" s="36">
        <f t="shared" si="34"/>
        <v>80152.325580461693</v>
      </c>
      <c r="J83" s="36">
        <f t="shared" si="34"/>
        <v>122348.9311043417</v>
      </c>
      <c r="K83" s="36">
        <f t="shared" si="34"/>
        <v>188163.02184988209</v>
      </c>
    </row>
    <row r="84" spans="2:11" x14ac:dyDescent="0.2">
      <c r="C84" s="17"/>
      <c r="D84" s="17"/>
      <c r="E84" s="54"/>
    </row>
    <row r="85" spans="2:11" x14ac:dyDescent="0.2">
      <c r="B85" s="66" t="s">
        <v>69</v>
      </c>
      <c r="C85" s="17"/>
      <c r="D85" s="17"/>
      <c r="E85" s="54"/>
    </row>
    <row r="86" spans="2:11" x14ac:dyDescent="0.2">
      <c r="B86" t="s">
        <v>70</v>
      </c>
      <c r="C86" s="174">
        <v>0</v>
      </c>
      <c r="D86" s="174">
        <v>0</v>
      </c>
      <c r="E86" s="175">
        <v>0</v>
      </c>
      <c r="F86" s="55"/>
      <c r="G86" s="55"/>
      <c r="H86" s="55"/>
      <c r="I86" s="55"/>
      <c r="J86" s="55"/>
      <c r="K86" s="55"/>
    </row>
    <row r="87" spans="2:11" x14ac:dyDescent="0.2">
      <c r="B87" t="s">
        <v>71</v>
      </c>
      <c r="C87" s="57">
        <v>12</v>
      </c>
      <c r="D87" s="57">
        <v>12</v>
      </c>
      <c r="E87" s="58">
        <v>16</v>
      </c>
      <c r="F87" s="55"/>
      <c r="G87" s="55"/>
      <c r="H87" s="55"/>
      <c r="I87" s="55"/>
      <c r="J87" s="55"/>
      <c r="K87" s="55"/>
    </row>
    <row r="88" spans="2:11" x14ac:dyDescent="0.2">
      <c r="B88" s="62" t="s">
        <v>72</v>
      </c>
      <c r="C88" s="61">
        <v>10544</v>
      </c>
      <c r="D88" s="61">
        <v>11069</v>
      </c>
      <c r="E88" s="60">
        <v>58005</v>
      </c>
      <c r="F88" s="55"/>
      <c r="G88" s="55"/>
      <c r="H88" s="55"/>
      <c r="I88" s="55"/>
      <c r="J88" s="55"/>
      <c r="K88" s="55"/>
    </row>
    <row r="89" spans="2:11" x14ac:dyDescent="0.2">
      <c r="B89" t="s">
        <v>73</v>
      </c>
      <c r="C89" s="57">
        <v>-131</v>
      </c>
      <c r="D89" s="57">
        <v>-2130</v>
      </c>
      <c r="E89" s="58">
        <v>-3099</v>
      </c>
      <c r="F89" s="55"/>
      <c r="G89" s="55"/>
      <c r="H89" s="55"/>
      <c r="I89" s="55"/>
      <c r="J89" s="55"/>
      <c r="K89" s="55"/>
    </row>
    <row r="90" spans="2:11" x14ac:dyDescent="0.2">
      <c r="B90" t="s">
        <v>74</v>
      </c>
      <c r="C90" s="57">
        <v>17</v>
      </c>
      <c r="D90" s="57">
        <v>-3</v>
      </c>
      <c r="E90" s="58">
        <v>-41</v>
      </c>
      <c r="F90" s="55"/>
      <c r="G90" s="55"/>
      <c r="H90" s="55"/>
      <c r="I90" s="55"/>
      <c r="J90" s="55"/>
      <c r="K90" s="55"/>
    </row>
    <row r="91" spans="2:11" x14ac:dyDescent="0.2">
      <c r="B91" s="62" t="s">
        <v>75</v>
      </c>
      <c r="C91" s="121">
        <v>0</v>
      </c>
      <c r="D91" s="121">
        <v>0</v>
      </c>
      <c r="E91" s="122">
        <v>0</v>
      </c>
      <c r="F91" s="55"/>
      <c r="G91" s="55"/>
      <c r="H91" s="55"/>
      <c r="I91" s="55"/>
      <c r="J91" s="55"/>
      <c r="K91" s="55"/>
    </row>
    <row r="92" spans="2:11" x14ac:dyDescent="0.2">
      <c r="B92" s="63" t="s">
        <v>76</v>
      </c>
      <c r="C92" s="67">
        <f>C72-C83</f>
        <v>5837</v>
      </c>
      <c r="D92" s="67">
        <f t="shared" ref="D92:K92" si="35">D72-D83</f>
        <v>6169</v>
      </c>
      <c r="E92" s="68">
        <f t="shared" si="35"/>
        <v>56450</v>
      </c>
      <c r="F92" s="69">
        <f t="shared" ca="1" si="35"/>
        <v>82597.679173026641</v>
      </c>
      <c r="G92" s="69">
        <f t="shared" ca="1" si="35"/>
        <v>97523.933884635306</v>
      </c>
      <c r="H92" s="69">
        <f t="shared" ca="1" si="35"/>
        <v>117917.02229629569</v>
      </c>
      <c r="I92" s="69">
        <f t="shared" ca="1" si="35"/>
        <v>146544.36873244873</v>
      </c>
      <c r="J92" s="69">
        <f t="shared" ca="1" si="35"/>
        <v>187918.72080745257</v>
      </c>
      <c r="K92" s="69">
        <f t="shared" ca="1" si="35"/>
        <v>237663.0394302099</v>
      </c>
    </row>
    <row r="93" spans="2:11" x14ac:dyDescent="0.2">
      <c r="B93" s="63" t="s">
        <v>77</v>
      </c>
      <c r="C93" s="36">
        <f>SUM(C92,C83)</f>
        <v>8962</v>
      </c>
      <c r="D93" s="36">
        <f t="shared" ref="D93:K93" si="36">SUM(D92,D83)</f>
        <v>12419</v>
      </c>
      <c r="E93" s="59">
        <f>SUM(E92,E83)</f>
        <v>67580</v>
      </c>
      <c r="F93" s="70">
        <f t="shared" ca="1" si="36"/>
        <v>107228.65185196005</v>
      </c>
      <c r="G93" s="70">
        <f t="shared" ca="1" si="36"/>
        <v>133276.1515138036</v>
      </c>
      <c r="H93" s="70">
        <f t="shared" ca="1" si="36"/>
        <v>171015.05756342364</v>
      </c>
      <c r="I93" s="70">
        <f t="shared" ca="1" si="36"/>
        <v>226696.69431291043</v>
      </c>
      <c r="J93" s="70">
        <f t="shared" ca="1" si="36"/>
        <v>310267.65191179427</v>
      </c>
      <c r="K93" s="70">
        <f t="shared" ca="1" si="36"/>
        <v>425826.06128009199</v>
      </c>
    </row>
    <row r="94" spans="2:11" x14ac:dyDescent="0.2">
      <c r="E94" s="32"/>
    </row>
    <row r="95" spans="2:11" x14ac:dyDescent="0.2">
      <c r="B95" s="26" t="s">
        <v>78</v>
      </c>
      <c r="C95" s="71">
        <f>C72-C93</f>
        <v>0</v>
      </c>
      <c r="D95" s="71">
        <f t="shared" ref="D95:K95" si="37">D72-D93</f>
        <v>0</v>
      </c>
      <c r="E95" s="72">
        <f t="shared" si="37"/>
        <v>0</v>
      </c>
      <c r="F95" s="71">
        <f t="shared" ca="1" si="37"/>
        <v>0</v>
      </c>
      <c r="G95" s="71">
        <f t="shared" ca="1" si="37"/>
        <v>0</v>
      </c>
      <c r="H95" s="71">
        <f t="shared" ca="1" si="37"/>
        <v>0</v>
      </c>
      <c r="I95" s="71">
        <f t="shared" ca="1" si="37"/>
        <v>0</v>
      </c>
      <c r="J95" s="71">
        <f t="shared" ca="1" si="37"/>
        <v>0</v>
      </c>
      <c r="K95" s="71">
        <f t="shared" ca="1" si="37"/>
        <v>0</v>
      </c>
    </row>
    <row r="97" spans="1:13" ht="20" x14ac:dyDescent="0.25">
      <c r="B97" s="9" t="s">
        <v>79</v>
      </c>
      <c r="C97" s="73"/>
      <c r="D97" s="74"/>
      <c r="E97" s="74"/>
      <c r="F97" s="74"/>
      <c r="G97" s="74"/>
      <c r="H97" s="74"/>
      <c r="I97" s="74"/>
      <c r="J97" s="74"/>
      <c r="K97" s="74"/>
    </row>
    <row r="98" spans="1:13" x14ac:dyDescent="0.2">
      <c r="A98" s="14"/>
      <c r="B98" s="14"/>
      <c r="C98" s="12">
        <f>EOMONTH(D98,-12)</f>
        <v>44196</v>
      </c>
      <c r="D98" s="12">
        <f>EOMONTH(E98,-12)</f>
        <v>44561</v>
      </c>
      <c r="E98" s="13">
        <f>$C$9</f>
        <v>44926</v>
      </c>
      <c r="F98" s="12">
        <f>EOMONTH(E98,12)</f>
        <v>45291</v>
      </c>
      <c r="G98" s="12">
        <f t="shared" ref="G98:K98" si="38">EOMONTH(F98,12)</f>
        <v>45657</v>
      </c>
      <c r="H98" s="12">
        <f t="shared" si="38"/>
        <v>46022</v>
      </c>
      <c r="I98" s="12">
        <f t="shared" si="38"/>
        <v>46387</v>
      </c>
      <c r="J98" s="12">
        <f t="shared" si="38"/>
        <v>46752</v>
      </c>
      <c r="K98" s="12">
        <f t="shared" si="38"/>
        <v>47118</v>
      </c>
      <c r="L98" s="14"/>
      <c r="M98" s="14"/>
    </row>
    <row r="99" spans="1:13" x14ac:dyDescent="0.2">
      <c r="B99" s="40" t="s">
        <v>80</v>
      </c>
      <c r="E99" s="32"/>
    </row>
    <row r="100" spans="1:13" x14ac:dyDescent="0.2">
      <c r="B100" s="75" t="s">
        <v>49</v>
      </c>
      <c r="C100" s="55">
        <f t="shared" ref="C100:E102" si="39">C60</f>
        <v>2076</v>
      </c>
      <c r="D100" s="55">
        <f t="shared" si="39"/>
        <v>2708</v>
      </c>
      <c r="E100" s="76">
        <f t="shared" si="39"/>
        <v>4128</v>
      </c>
      <c r="F100" s="55">
        <f t="shared" ref="F100:K100" si="40">F113/365*F15</f>
        <v>6454.4447001356111</v>
      </c>
      <c r="G100" s="55">
        <f t="shared" si="40"/>
        <v>10067.004298874164</v>
      </c>
      <c r="H100" s="55">
        <f t="shared" si="40"/>
        <v>15701.517367004726</v>
      </c>
      <c r="I100" s="55">
        <f t="shared" si="40"/>
        <v>24489.673422899239</v>
      </c>
      <c r="J100" s="55">
        <f t="shared" si="40"/>
        <v>38196.569818186086</v>
      </c>
      <c r="K100" s="55">
        <f t="shared" si="40"/>
        <v>59575.230779163307</v>
      </c>
    </row>
    <row r="101" spans="1:13" x14ac:dyDescent="0.2">
      <c r="B101" s="75" t="s">
        <v>50</v>
      </c>
      <c r="C101" s="55">
        <f t="shared" si="39"/>
        <v>1399</v>
      </c>
      <c r="D101" s="55">
        <f t="shared" si="39"/>
        <v>1955</v>
      </c>
      <c r="E101" s="76">
        <f t="shared" si="39"/>
        <v>3771</v>
      </c>
      <c r="F101" s="55">
        <f t="shared" ref="F101:K101" si="41">F17/F114</f>
        <v>5827.9037186687647</v>
      </c>
      <c r="G101" s="55">
        <f t="shared" si="41"/>
        <v>9089.7876602816814</v>
      </c>
      <c r="H101" s="55">
        <f t="shared" si="41"/>
        <v>14177.351531106375</v>
      </c>
      <c r="I101" s="55">
        <f t="shared" si="41"/>
        <v>22112.430339251245</v>
      </c>
      <c r="J101" s="55">
        <f t="shared" si="41"/>
        <v>34488.781239247539</v>
      </c>
      <c r="K101" s="55">
        <f t="shared" si="41"/>
        <v>53792.188968811031</v>
      </c>
    </row>
    <row r="102" spans="1:13" x14ac:dyDescent="0.2">
      <c r="B102" s="75" t="s">
        <v>81</v>
      </c>
      <c r="C102" s="55">
        <f t="shared" si="39"/>
        <v>378</v>
      </c>
      <c r="D102" s="55">
        <f t="shared" si="39"/>
        <v>312</v>
      </c>
      <c r="E102" s="77">
        <f t="shared" si="39"/>
        <v>1265</v>
      </c>
      <c r="F102" s="55">
        <f t="shared" ref="F102:K102" si="42">F15*F115</f>
        <v>1973.0430642727047</v>
      </c>
      <c r="G102" s="55">
        <f t="shared" si="42"/>
        <v>3077.3573766120962</v>
      </c>
      <c r="H102" s="55">
        <f t="shared" si="42"/>
        <v>4799.7575901262571</v>
      </c>
      <c r="I102" s="55">
        <f t="shared" si="42"/>
        <v>7486.1870444625119</v>
      </c>
      <c r="J102" s="55">
        <f t="shared" si="42"/>
        <v>11676.213936296759</v>
      </c>
      <c r="K102" s="55">
        <f t="shared" si="42"/>
        <v>18211.403358805484</v>
      </c>
    </row>
    <row r="103" spans="1:13" x14ac:dyDescent="0.2">
      <c r="B103" s="75" t="s">
        <v>82</v>
      </c>
      <c r="C103" s="78">
        <f>SUM(C100:C102)</f>
        <v>3853</v>
      </c>
      <c r="D103" s="78">
        <f t="shared" ref="D103:K103" si="43">SUM(D100:D102)</f>
        <v>4975</v>
      </c>
      <c r="E103" s="79">
        <f t="shared" si="43"/>
        <v>9164</v>
      </c>
      <c r="F103" s="78">
        <f t="shared" si="43"/>
        <v>14255.391483077081</v>
      </c>
      <c r="G103" s="78">
        <f t="shared" si="43"/>
        <v>22234.149335767943</v>
      </c>
      <c r="H103" s="78">
        <f t="shared" si="43"/>
        <v>34678.626488237358</v>
      </c>
      <c r="I103" s="78">
        <f t="shared" si="43"/>
        <v>54088.290806612989</v>
      </c>
      <c r="J103" s="78">
        <f t="shared" si="43"/>
        <v>84361.564993730382</v>
      </c>
      <c r="K103" s="78">
        <f t="shared" si="43"/>
        <v>131578.82310677983</v>
      </c>
    </row>
    <row r="104" spans="1:13" x14ac:dyDescent="0.2">
      <c r="B104" s="75"/>
      <c r="E104" s="32"/>
    </row>
    <row r="105" spans="1:13" x14ac:dyDescent="0.2">
      <c r="B105" s="75" t="s">
        <v>61</v>
      </c>
      <c r="C105" s="55">
        <f>C75</f>
        <v>468</v>
      </c>
      <c r="D105" s="55">
        <f t="shared" ref="D105:E105" si="44">D75</f>
        <v>1321</v>
      </c>
      <c r="E105" s="76">
        <f t="shared" si="44"/>
        <v>2493</v>
      </c>
      <c r="F105" s="55">
        <f t="shared" ref="F105:K105" si="45">F117/365*F17</f>
        <v>3889.52697498003</v>
      </c>
      <c r="G105" s="55">
        <f t="shared" si="45"/>
        <v>6066.4993809441576</v>
      </c>
      <c r="H105" s="55">
        <f t="shared" si="45"/>
        <v>9461.925569801404</v>
      </c>
      <c r="I105" s="55">
        <f t="shared" si="45"/>
        <v>14757.77542641535</v>
      </c>
      <c r="J105" s="55">
        <f t="shared" si="45"/>
        <v>23017.718109262194</v>
      </c>
      <c r="K105" s="55">
        <f t="shared" si="45"/>
        <v>35900.759541924293</v>
      </c>
    </row>
    <row r="106" spans="1:13" x14ac:dyDescent="0.2">
      <c r="B106" s="75" t="s">
        <v>83</v>
      </c>
      <c r="C106" s="55">
        <f t="shared" ref="C106:E106" si="46">C76</f>
        <v>1949</v>
      </c>
      <c r="D106" s="55">
        <f t="shared" si="46"/>
        <v>2919</v>
      </c>
      <c r="E106" s="76">
        <f t="shared" si="46"/>
        <v>3876</v>
      </c>
      <c r="F106" s="55">
        <f t="shared" ref="F106:K106" si="47">F17*F118</f>
        <v>6045.45936448667</v>
      </c>
      <c r="G106" s="55">
        <f t="shared" si="47"/>
        <v>9429.1094336399965</v>
      </c>
      <c r="H106" s="55">
        <f t="shared" si="47"/>
        <v>14706.592063762575</v>
      </c>
      <c r="I106" s="55">
        <f t="shared" si="47"/>
        <v>22937.887363815495</v>
      </c>
      <c r="J106" s="55">
        <f t="shared" si="47"/>
        <v>35776.247442908651</v>
      </c>
      <c r="K106" s="55">
        <f t="shared" si="47"/>
        <v>55800.251383016752</v>
      </c>
    </row>
    <row r="107" spans="1:13" x14ac:dyDescent="0.2">
      <c r="B107" s="75" t="s">
        <v>84</v>
      </c>
      <c r="C107" s="78">
        <f>SUM(C105:C106)</f>
        <v>2417</v>
      </c>
      <c r="D107" s="78">
        <f t="shared" ref="D107:K107" si="48">SUM(D105:D106)</f>
        <v>4240</v>
      </c>
      <c r="E107" s="79">
        <f t="shared" si="48"/>
        <v>6369</v>
      </c>
      <c r="F107" s="78">
        <f t="shared" si="48"/>
        <v>9934.9863394667009</v>
      </c>
      <c r="G107" s="78">
        <f t="shared" si="48"/>
        <v>15495.608814584153</v>
      </c>
      <c r="H107" s="78">
        <f t="shared" si="48"/>
        <v>24168.517633563977</v>
      </c>
      <c r="I107" s="78">
        <f t="shared" si="48"/>
        <v>37695.662790230846</v>
      </c>
      <c r="J107" s="78">
        <f t="shared" si="48"/>
        <v>58793.965552170848</v>
      </c>
      <c r="K107" s="78">
        <f t="shared" si="48"/>
        <v>91701.010924941045</v>
      </c>
    </row>
    <row r="108" spans="1:13" x14ac:dyDescent="0.2">
      <c r="B108" s="75"/>
      <c r="E108" s="32"/>
    </row>
    <row r="109" spans="1:13" x14ac:dyDescent="0.2">
      <c r="B109" s="75" t="s">
        <v>85</v>
      </c>
      <c r="C109" s="55">
        <f>C103-C107</f>
        <v>1436</v>
      </c>
      <c r="D109" s="55">
        <f t="shared" ref="D109:K109" si="49">D103-D107</f>
        <v>735</v>
      </c>
      <c r="E109" s="76">
        <f t="shared" si="49"/>
        <v>2795</v>
      </c>
      <c r="F109" s="55">
        <f t="shared" si="49"/>
        <v>4320.40514361038</v>
      </c>
      <c r="G109" s="55">
        <f t="shared" si="49"/>
        <v>6738.5405211837897</v>
      </c>
      <c r="H109" s="55">
        <f t="shared" si="49"/>
        <v>10510.108854673381</v>
      </c>
      <c r="I109" s="55">
        <f t="shared" si="49"/>
        <v>16392.628016382143</v>
      </c>
      <c r="J109" s="55">
        <f t="shared" si="49"/>
        <v>25567.599441559534</v>
      </c>
      <c r="K109" s="55">
        <f t="shared" si="49"/>
        <v>39877.812181838788</v>
      </c>
    </row>
    <row r="110" spans="1:13" x14ac:dyDescent="0.2">
      <c r="B110" s="80" t="s">
        <v>86</v>
      </c>
      <c r="C110" s="81"/>
      <c r="D110" s="70">
        <f>D109-C109</f>
        <v>-701</v>
      </c>
      <c r="E110" s="82">
        <f t="shared" ref="E110:K110" si="50">E109-D109</f>
        <v>2060</v>
      </c>
      <c r="F110" s="70">
        <f t="shared" si="50"/>
        <v>1525.40514361038</v>
      </c>
      <c r="G110" s="70">
        <f t="shared" si="50"/>
        <v>2418.1353775734096</v>
      </c>
      <c r="H110" s="70">
        <f t="shared" si="50"/>
        <v>3771.5683334895912</v>
      </c>
      <c r="I110" s="70">
        <f t="shared" si="50"/>
        <v>5882.5191617087621</v>
      </c>
      <c r="J110" s="70">
        <f t="shared" si="50"/>
        <v>9174.9714251773912</v>
      </c>
      <c r="K110" s="70">
        <f t="shared" si="50"/>
        <v>14310.212740279254</v>
      </c>
    </row>
    <row r="111" spans="1:13" x14ac:dyDescent="0.2">
      <c r="B111" s="75"/>
    </row>
    <row r="112" spans="1:13" x14ac:dyDescent="0.2">
      <c r="B112" s="83" t="s">
        <v>38</v>
      </c>
    </row>
    <row r="113" spans="2:12" x14ac:dyDescent="0.2">
      <c r="B113" s="75" t="s">
        <v>87</v>
      </c>
      <c r="C113" s="84">
        <f>C100/C15*365</f>
        <v>77.613438492266724</v>
      </c>
      <c r="D113" s="84">
        <f>D100/D15*365</f>
        <v>60.144821711086777</v>
      </c>
      <c r="E113" s="85">
        <f>E100/E15*365</f>
        <v>63.841362654124829</v>
      </c>
      <c r="F113" s="8">
        <v>64</v>
      </c>
      <c r="G113">
        <f>F113</f>
        <v>64</v>
      </c>
      <c r="H113">
        <f t="shared" ref="H113:K113" si="51">G113</f>
        <v>64</v>
      </c>
      <c r="I113">
        <f t="shared" si="51"/>
        <v>64</v>
      </c>
      <c r="J113">
        <f t="shared" si="51"/>
        <v>64</v>
      </c>
      <c r="K113">
        <f t="shared" si="51"/>
        <v>64</v>
      </c>
    </row>
    <row r="114" spans="2:12" x14ac:dyDescent="0.2">
      <c r="B114" s="75" t="s">
        <v>88</v>
      </c>
      <c r="C114" s="86">
        <f>C17/C101</f>
        <v>3.6182987848463188</v>
      </c>
      <c r="D114" s="86">
        <f>D17/D101</f>
        <v>4.1135549872122761</v>
      </c>
      <c r="E114" s="87">
        <f>E17/E101</f>
        <v>2.8735083532219572</v>
      </c>
      <c r="F114" s="88">
        <v>2.9</v>
      </c>
      <c r="G114" s="86">
        <f>F114</f>
        <v>2.9</v>
      </c>
      <c r="H114" s="86">
        <f t="shared" ref="H114:K114" si="52">G114</f>
        <v>2.9</v>
      </c>
      <c r="I114" s="86">
        <f t="shared" si="52"/>
        <v>2.9</v>
      </c>
      <c r="J114" s="86">
        <f t="shared" si="52"/>
        <v>2.9</v>
      </c>
      <c r="K114" s="86">
        <f t="shared" si="52"/>
        <v>2.9</v>
      </c>
    </row>
    <row r="115" spans="2:12" x14ac:dyDescent="0.2">
      <c r="B115" s="75" t="s">
        <v>89</v>
      </c>
      <c r="C115" s="89">
        <f>C102/C15</f>
        <v>3.8717607292840316E-2</v>
      </c>
      <c r="D115" s="89">
        <f>D102/D15</f>
        <v>1.8985031033223805E-2</v>
      </c>
      <c r="E115" s="90">
        <f>E102/E15</f>
        <v>5.3599423753230797E-2</v>
      </c>
      <c r="F115" s="91">
        <v>5.3600000000000002E-2</v>
      </c>
      <c r="G115" s="89">
        <f>F115</f>
        <v>5.3600000000000002E-2</v>
      </c>
      <c r="H115" s="89">
        <f t="shared" ref="H115:K115" si="53">G115</f>
        <v>5.3600000000000002E-2</v>
      </c>
      <c r="I115" s="89">
        <f t="shared" si="53"/>
        <v>5.3600000000000002E-2</v>
      </c>
      <c r="J115" s="89">
        <f t="shared" si="53"/>
        <v>5.3600000000000002E-2</v>
      </c>
      <c r="K115" s="89">
        <f t="shared" si="53"/>
        <v>5.3600000000000002E-2</v>
      </c>
      <c r="L115" s="89"/>
    </row>
    <row r="116" spans="2:12" x14ac:dyDescent="0.2">
      <c r="B116" s="75"/>
      <c r="E116" s="32"/>
    </row>
    <row r="117" spans="2:12" x14ac:dyDescent="0.2">
      <c r="B117" s="75" t="s">
        <v>90</v>
      </c>
      <c r="C117" s="84">
        <f>C105/C17*365</f>
        <v>33.745555116554719</v>
      </c>
      <c r="D117" s="84">
        <f>D105/D17*365</f>
        <v>59.95585675205173</v>
      </c>
      <c r="E117" s="85">
        <f>E105/E17*365</f>
        <v>83.974252491694358</v>
      </c>
      <c r="F117" s="8">
        <v>84</v>
      </c>
      <c r="G117">
        <f>F117</f>
        <v>84</v>
      </c>
      <c r="H117">
        <f t="shared" ref="H117:K117" si="54">G117</f>
        <v>84</v>
      </c>
      <c r="I117">
        <f t="shared" si="54"/>
        <v>84</v>
      </c>
      <c r="J117">
        <f t="shared" si="54"/>
        <v>84</v>
      </c>
      <c r="K117">
        <f t="shared" si="54"/>
        <v>84</v>
      </c>
    </row>
    <row r="118" spans="2:12" x14ac:dyDescent="0.2">
      <c r="B118" s="75" t="s">
        <v>91</v>
      </c>
      <c r="C118" s="89">
        <f>C106/C17</f>
        <v>0.38502568154879496</v>
      </c>
      <c r="D118" s="89">
        <f>D106/D17</f>
        <v>0.36296941059437948</v>
      </c>
      <c r="E118" s="90">
        <f>E106/E17</f>
        <v>0.35769656699889257</v>
      </c>
      <c r="F118" s="91">
        <v>0.35770000000000002</v>
      </c>
      <c r="G118" s="89">
        <f>F118</f>
        <v>0.35770000000000002</v>
      </c>
      <c r="H118" s="89">
        <f t="shared" ref="H118:K118" si="55">G118</f>
        <v>0.35770000000000002</v>
      </c>
      <c r="I118" s="89">
        <f t="shared" si="55"/>
        <v>0.35770000000000002</v>
      </c>
      <c r="J118" s="89">
        <f t="shared" si="55"/>
        <v>0.35770000000000002</v>
      </c>
      <c r="K118" s="89">
        <f t="shared" si="55"/>
        <v>0.35770000000000002</v>
      </c>
    </row>
    <row r="120" spans="2:12" ht="20" x14ac:dyDescent="0.25">
      <c r="B120" s="9" t="s">
        <v>92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2:12" x14ac:dyDescent="0.2">
      <c r="C121" s="12">
        <f>EOMONTH(D121,-12)</f>
        <v>44196</v>
      </c>
      <c r="D121" s="12">
        <f>EOMONTH(E121,-12)</f>
        <v>44561</v>
      </c>
      <c r="E121" s="13">
        <f>$C$9</f>
        <v>44926</v>
      </c>
      <c r="F121" s="12">
        <f>EOMONTH(E121,12)</f>
        <v>45291</v>
      </c>
      <c r="G121" s="12">
        <f t="shared" ref="G121:K121" si="56">EOMONTH(F121,12)</f>
        <v>45657</v>
      </c>
      <c r="H121" s="12">
        <f t="shared" si="56"/>
        <v>46022</v>
      </c>
      <c r="I121" s="12">
        <f t="shared" si="56"/>
        <v>46387</v>
      </c>
      <c r="J121" s="12">
        <f t="shared" si="56"/>
        <v>46752</v>
      </c>
      <c r="K121" s="12">
        <f t="shared" si="56"/>
        <v>47118</v>
      </c>
    </row>
    <row r="122" spans="2:12" x14ac:dyDescent="0.2">
      <c r="B122" s="75" t="s">
        <v>93</v>
      </c>
      <c r="C122" s="20"/>
      <c r="D122" s="92"/>
      <c r="E122" s="79">
        <f>D65</f>
        <v>702</v>
      </c>
      <c r="F122" s="17">
        <f>E125</f>
        <v>1513</v>
      </c>
      <c r="G122" s="17">
        <f t="shared" ref="G122:K122" si="57">F125</f>
        <v>3150.1361758624917</v>
      </c>
      <c r="H122" s="17">
        <f t="shared" si="57"/>
        <v>5548.5382305105295</v>
      </c>
      <c r="I122" s="17">
        <f t="shared" si="57"/>
        <v>9134.2874901256018</v>
      </c>
      <c r="J122" s="17">
        <f t="shared" si="57"/>
        <v>14571.943454651824</v>
      </c>
      <c r="K122" s="17">
        <f t="shared" si="57"/>
        <v>22898.020286594066</v>
      </c>
    </row>
    <row r="123" spans="2:12" x14ac:dyDescent="0.2">
      <c r="B123" s="75" t="s">
        <v>25</v>
      </c>
      <c r="C123" s="20"/>
      <c r="D123" s="20"/>
      <c r="E123" s="42">
        <f>-E29</f>
        <v>-527</v>
      </c>
      <c r="F123" s="17">
        <f>-F275</f>
        <v>-450.0194536946417</v>
      </c>
      <c r="G123" s="17">
        <f t="shared" ref="G123:K123" si="58">-G275</f>
        <v>-856.9368120293102</v>
      </c>
      <c r="H123" s="17">
        <f t="shared" si="58"/>
        <v>-1491.6062508356506</v>
      </c>
      <c r="I123" s="17">
        <f t="shared" si="58"/>
        <v>-2481.5008530302039</v>
      </c>
      <c r="J123" s="17">
        <f t="shared" si="58"/>
        <v>-4025.4405223119816</v>
      </c>
      <c r="K123" s="17">
        <f t="shared" si="58"/>
        <v>-6433.5248750271658</v>
      </c>
    </row>
    <row r="124" spans="2:12" x14ac:dyDescent="0.2">
      <c r="B124" s="75" t="s">
        <v>94</v>
      </c>
      <c r="C124" s="20"/>
      <c r="D124" s="20"/>
      <c r="E124" s="76">
        <f>E125-SUM(E122:E123)</f>
        <v>1338</v>
      </c>
      <c r="F124" s="17">
        <f t="shared" ref="F124:K124" si="59">F15*F135</f>
        <v>2087.1556295571336</v>
      </c>
      <c r="G124" s="17">
        <f t="shared" si="59"/>
        <v>3255.3388666773481</v>
      </c>
      <c r="H124" s="17">
        <f t="shared" si="59"/>
        <v>5077.3555104507232</v>
      </c>
      <c r="I124" s="17">
        <f t="shared" si="59"/>
        <v>7919.1568175564253</v>
      </c>
      <c r="J124" s="17">
        <f t="shared" si="59"/>
        <v>12351.517354254222</v>
      </c>
      <c r="K124" s="17">
        <f t="shared" si="59"/>
        <v>19264.67482172147</v>
      </c>
    </row>
    <row r="125" spans="2:12" x14ac:dyDescent="0.2">
      <c r="B125" s="80" t="s">
        <v>95</v>
      </c>
      <c r="C125" s="81"/>
      <c r="D125" s="93"/>
      <c r="E125" s="82">
        <f>E65</f>
        <v>1513</v>
      </c>
      <c r="F125" s="36">
        <f>SUM(F122:F124)</f>
        <v>3150.1361758624917</v>
      </c>
      <c r="G125" s="36">
        <f t="shared" ref="G125:K125" si="60">SUM(G122:G124)</f>
        <v>5548.5382305105295</v>
      </c>
      <c r="H125" s="36">
        <f t="shared" si="60"/>
        <v>9134.2874901256018</v>
      </c>
      <c r="I125" s="36">
        <f t="shared" si="60"/>
        <v>14571.943454651824</v>
      </c>
      <c r="J125" s="36">
        <f t="shared" si="60"/>
        <v>22898.020286594066</v>
      </c>
      <c r="K125" s="36">
        <f t="shared" si="60"/>
        <v>35729.170233288372</v>
      </c>
    </row>
    <row r="126" spans="2:12" x14ac:dyDescent="0.2">
      <c r="B126" s="75"/>
      <c r="C126" s="20"/>
      <c r="D126" s="20"/>
      <c r="E126" s="32"/>
      <c r="F126" s="17"/>
      <c r="G126" s="17"/>
      <c r="H126" s="17"/>
      <c r="I126" s="17"/>
      <c r="J126" s="17"/>
      <c r="K126" s="17"/>
    </row>
    <row r="127" spans="2:12" x14ac:dyDescent="0.2">
      <c r="B127" s="75" t="s">
        <v>96</v>
      </c>
      <c r="C127" s="20"/>
      <c r="D127" s="20"/>
      <c r="E127" s="76">
        <f>D68</f>
        <v>0</v>
      </c>
      <c r="F127" s="17">
        <f>E130</f>
        <v>24118</v>
      </c>
      <c r="G127" s="17">
        <f t="shared" ref="G127:K127" si="61">F130</f>
        <v>21314</v>
      </c>
      <c r="H127" s="17">
        <f t="shared" si="61"/>
        <v>19028</v>
      </c>
      <c r="I127" s="17">
        <f t="shared" si="61"/>
        <v>16967</v>
      </c>
      <c r="J127" s="17">
        <f t="shared" si="61"/>
        <v>15016</v>
      </c>
      <c r="K127" s="17">
        <f t="shared" si="61"/>
        <v>13172</v>
      </c>
    </row>
    <row r="128" spans="2:12" x14ac:dyDescent="0.2">
      <c r="B128" s="75" t="s">
        <v>26</v>
      </c>
      <c r="C128" s="20"/>
      <c r="D128" s="20"/>
      <c r="E128" s="42">
        <f>-E30</f>
        <v>-3735</v>
      </c>
      <c r="F128" s="174">
        <v>-2804</v>
      </c>
      <c r="G128" s="174">
        <v>-2286</v>
      </c>
      <c r="H128" s="174">
        <v>-2061</v>
      </c>
      <c r="I128" s="174">
        <v>-1951</v>
      </c>
      <c r="J128" s="174">
        <v>-1844</v>
      </c>
      <c r="K128" s="174">
        <v>-11978</v>
      </c>
    </row>
    <row r="129" spans="2:11" x14ac:dyDescent="0.2">
      <c r="B129" s="75" t="s">
        <v>97</v>
      </c>
      <c r="C129" s="20"/>
      <c r="D129" s="20"/>
      <c r="E129" s="76">
        <f>E130-SUM(E127:E128)</f>
        <v>27853</v>
      </c>
      <c r="F129" s="55">
        <v>0</v>
      </c>
      <c r="G129" s="55">
        <v>0</v>
      </c>
      <c r="H129" s="55">
        <v>0</v>
      </c>
      <c r="I129" s="55">
        <v>0</v>
      </c>
      <c r="J129" s="55">
        <v>0</v>
      </c>
      <c r="K129" s="55">
        <v>0</v>
      </c>
    </row>
    <row r="130" spans="2:11" x14ac:dyDescent="0.2">
      <c r="B130" s="80" t="s">
        <v>98</v>
      </c>
      <c r="C130" s="81"/>
      <c r="D130" s="81"/>
      <c r="E130" s="82">
        <f>E68</f>
        <v>24118</v>
      </c>
      <c r="F130" s="36">
        <f>SUM(F127:F129)</f>
        <v>21314</v>
      </c>
      <c r="G130" s="36">
        <f t="shared" ref="G130:K130" si="62">SUM(G127:G129)</f>
        <v>19028</v>
      </c>
      <c r="H130" s="36">
        <f t="shared" si="62"/>
        <v>16967</v>
      </c>
      <c r="I130" s="36">
        <f t="shared" si="62"/>
        <v>15016</v>
      </c>
      <c r="J130" s="36">
        <f t="shared" si="62"/>
        <v>13172</v>
      </c>
      <c r="K130" s="36">
        <f t="shared" si="62"/>
        <v>1194</v>
      </c>
    </row>
    <row r="131" spans="2:11" x14ac:dyDescent="0.2">
      <c r="B131" s="75"/>
      <c r="C131" s="20"/>
      <c r="D131" s="20"/>
      <c r="E131" s="32"/>
      <c r="F131" s="17"/>
      <c r="G131" s="17"/>
      <c r="H131" s="17"/>
      <c r="I131" s="17"/>
      <c r="J131" s="17"/>
      <c r="K131" s="17"/>
    </row>
    <row r="132" spans="2:11" x14ac:dyDescent="0.2">
      <c r="B132" s="75" t="s">
        <v>55</v>
      </c>
      <c r="C132" s="20"/>
      <c r="D132" s="20"/>
      <c r="E132" s="76">
        <f>E67</f>
        <v>24177</v>
      </c>
      <c r="F132" s="57">
        <v>24177</v>
      </c>
      <c r="G132" s="17">
        <f>F132</f>
        <v>24177</v>
      </c>
      <c r="H132" s="17">
        <f t="shared" ref="H132:K132" si="63">G132</f>
        <v>24177</v>
      </c>
      <c r="I132" s="17">
        <f t="shared" si="63"/>
        <v>24177</v>
      </c>
      <c r="J132" s="17">
        <f t="shared" si="63"/>
        <v>24177</v>
      </c>
      <c r="K132" s="17">
        <f t="shared" si="63"/>
        <v>24177</v>
      </c>
    </row>
    <row r="133" spans="2:11" x14ac:dyDescent="0.2">
      <c r="B133" s="75"/>
      <c r="C133" s="20"/>
      <c r="D133" s="20"/>
      <c r="F133" s="55"/>
      <c r="G133" s="55"/>
      <c r="H133" s="55"/>
      <c r="I133" s="55"/>
      <c r="J133" s="55"/>
      <c r="K133" s="55"/>
    </row>
    <row r="134" spans="2:11" x14ac:dyDescent="0.2">
      <c r="B134" s="83" t="s">
        <v>38</v>
      </c>
      <c r="C134" s="20"/>
      <c r="D134" s="20"/>
      <c r="F134" s="55"/>
      <c r="G134" s="55"/>
      <c r="H134" s="55"/>
      <c r="I134" s="55"/>
      <c r="J134" s="55"/>
      <c r="K134" s="55"/>
    </row>
    <row r="135" spans="2:11" x14ac:dyDescent="0.2">
      <c r="B135" s="75" t="s">
        <v>99</v>
      </c>
      <c r="C135" s="20"/>
      <c r="D135" s="20"/>
      <c r="E135" s="94">
        <f>E124/E15</f>
        <v>5.6692513029108937E-2</v>
      </c>
      <c r="F135" s="95">
        <v>5.67E-2</v>
      </c>
      <c r="G135" s="96">
        <f>F135</f>
        <v>5.67E-2</v>
      </c>
      <c r="H135" s="96">
        <f t="shared" ref="H135:K135" si="64">G135</f>
        <v>5.67E-2</v>
      </c>
      <c r="I135" s="96">
        <f t="shared" si="64"/>
        <v>5.67E-2</v>
      </c>
      <c r="J135" s="96">
        <f t="shared" si="64"/>
        <v>5.67E-2</v>
      </c>
      <c r="K135" s="96">
        <f t="shared" si="64"/>
        <v>5.67E-2</v>
      </c>
    </row>
    <row r="136" spans="2:11" x14ac:dyDescent="0.2">
      <c r="B136" s="75" t="s">
        <v>100</v>
      </c>
      <c r="C136" s="20"/>
      <c r="D136" s="20"/>
      <c r="E136" s="94">
        <f>-E123/E124</f>
        <v>0.39387144992526157</v>
      </c>
      <c r="F136" s="97">
        <v>0.39389999999999997</v>
      </c>
      <c r="G136" s="98">
        <f>F136</f>
        <v>0.39389999999999997</v>
      </c>
      <c r="H136" s="98">
        <f t="shared" ref="H136:K136" si="65">G136</f>
        <v>0.39389999999999997</v>
      </c>
      <c r="I136" s="98">
        <f t="shared" si="65"/>
        <v>0.39389999999999997</v>
      </c>
      <c r="J136" s="98">
        <f t="shared" si="65"/>
        <v>0.39389999999999997</v>
      </c>
      <c r="K136" s="98">
        <f t="shared" si="65"/>
        <v>0.39389999999999997</v>
      </c>
    </row>
    <row r="138" spans="2:11" ht="20" x14ac:dyDescent="0.25">
      <c r="B138" s="9" t="s">
        <v>101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C139" s="12">
        <f>EOMONTH(D139,-12)</f>
        <v>44196</v>
      </c>
      <c r="D139" s="12">
        <f>EOMONTH(E139,-12)</f>
        <v>44561</v>
      </c>
      <c r="E139" s="13">
        <f>$C$9</f>
        <v>44926</v>
      </c>
      <c r="F139" s="12">
        <f>EOMONTH(E139,12)</f>
        <v>45291</v>
      </c>
      <c r="G139" s="12">
        <f t="shared" ref="G139:K139" si="66">EOMONTH(F139,12)</f>
        <v>45657</v>
      </c>
      <c r="H139" s="12">
        <f t="shared" si="66"/>
        <v>46022</v>
      </c>
      <c r="I139" s="12">
        <f t="shared" si="66"/>
        <v>46387</v>
      </c>
      <c r="J139" s="12">
        <f t="shared" si="66"/>
        <v>46752</v>
      </c>
      <c r="K139" s="12">
        <f t="shared" si="66"/>
        <v>47118</v>
      </c>
    </row>
    <row r="140" spans="2:11" x14ac:dyDescent="0.2">
      <c r="B140" s="75" t="s">
        <v>35</v>
      </c>
      <c r="C140" s="92"/>
      <c r="D140" s="92"/>
      <c r="E140" s="99"/>
      <c r="F140" s="100">
        <f t="shared" ref="F140:K140" ca="1" si="67">F39</f>
        <v>6554.6655124933332</v>
      </c>
      <c r="G140" s="100">
        <f t="shared" ca="1" si="67"/>
        <v>12486.877186726109</v>
      </c>
      <c r="H140" s="100">
        <f t="shared" ca="1" si="67"/>
        <v>21065.997230640216</v>
      </c>
      <c r="I140" s="100">
        <f t="shared" ca="1" si="67"/>
        <v>34154.491592819926</v>
      </c>
      <c r="J140" s="100">
        <f t="shared" ca="1" si="67"/>
        <v>54472.654836943824</v>
      </c>
      <c r="K140" s="100">
        <f t="shared" ca="1" si="67"/>
        <v>74651.363995527543</v>
      </c>
    </row>
    <row r="141" spans="2:11" x14ac:dyDescent="0.2">
      <c r="B141" s="75" t="s">
        <v>25</v>
      </c>
      <c r="C141" s="101"/>
      <c r="D141" s="101"/>
      <c r="E141" s="102"/>
      <c r="F141" s="100">
        <f t="shared" ref="F141:K142" si="68">F29</f>
        <v>450.0194536946417</v>
      </c>
      <c r="G141" s="100">
        <f t="shared" si="68"/>
        <v>856.9368120293102</v>
      </c>
      <c r="H141" s="100">
        <f t="shared" si="68"/>
        <v>1491.6062508356506</v>
      </c>
      <c r="I141" s="100">
        <f t="shared" si="68"/>
        <v>2481.5008530302039</v>
      </c>
      <c r="J141" s="100">
        <f t="shared" si="68"/>
        <v>4025.4405223119816</v>
      </c>
      <c r="K141" s="100">
        <f t="shared" si="68"/>
        <v>6433.5248750271658</v>
      </c>
    </row>
    <row r="142" spans="2:11" x14ac:dyDescent="0.2">
      <c r="B142" s="75" t="s">
        <v>26</v>
      </c>
      <c r="C142" s="92"/>
      <c r="D142" s="92"/>
      <c r="E142" s="103"/>
      <c r="F142" s="100">
        <f t="shared" si="68"/>
        <v>2804</v>
      </c>
      <c r="G142" s="100">
        <f t="shared" si="68"/>
        <v>2286</v>
      </c>
      <c r="H142" s="100">
        <f t="shared" si="68"/>
        <v>2061</v>
      </c>
      <c r="I142" s="100">
        <f t="shared" si="68"/>
        <v>1951</v>
      </c>
      <c r="J142" s="100">
        <f t="shared" si="68"/>
        <v>1844</v>
      </c>
      <c r="K142" s="100">
        <f t="shared" si="68"/>
        <v>11978</v>
      </c>
    </row>
    <row r="143" spans="2:11" x14ac:dyDescent="0.2">
      <c r="B143" s="75" t="s">
        <v>102</v>
      </c>
      <c r="C143" s="101"/>
      <c r="D143" s="101"/>
      <c r="E143" s="102"/>
      <c r="F143" s="17">
        <f>-F110</f>
        <v>-1525.40514361038</v>
      </c>
      <c r="G143" s="17">
        <f t="shared" ref="G143:K143" si="69">-G110</f>
        <v>-2418.1353775734096</v>
      </c>
      <c r="H143" s="17">
        <f t="shared" si="69"/>
        <v>-3771.5683334895912</v>
      </c>
      <c r="I143" s="17">
        <f t="shared" si="69"/>
        <v>-5882.5191617087621</v>
      </c>
      <c r="J143" s="17">
        <f t="shared" si="69"/>
        <v>-9174.9714251773912</v>
      </c>
      <c r="K143" s="17">
        <f t="shared" si="69"/>
        <v>-14310.212740279254</v>
      </c>
    </row>
    <row r="144" spans="2:11" x14ac:dyDescent="0.2">
      <c r="B144" s="80" t="s">
        <v>103</v>
      </c>
      <c r="C144" s="104"/>
      <c r="D144" s="104"/>
      <c r="E144" s="105"/>
      <c r="F144" s="106">
        <f ca="1">SUM(F140:F143)</f>
        <v>8283.279822577595</v>
      </c>
      <c r="G144" s="36">
        <f t="shared" ref="G144:K144" ca="1" si="70">SUM(G140:G143)</f>
        <v>13211.678621182011</v>
      </c>
      <c r="H144" s="36">
        <f t="shared" ca="1" si="70"/>
        <v>20847.035147986277</v>
      </c>
      <c r="I144" s="36">
        <f t="shared" ca="1" si="70"/>
        <v>32704.473284141372</v>
      </c>
      <c r="J144" s="36">
        <f t="shared" ca="1" si="70"/>
        <v>51167.123934078416</v>
      </c>
      <c r="K144" s="36">
        <f t="shared" ca="1" si="70"/>
        <v>78752.67613027546</v>
      </c>
    </row>
    <row r="145" spans="2:11" x14ac:dyDescent="0.2">
      <c r="B145" s="75"/>
      <c r="C145" s="101"/>
      <c r="D145" s="101"/>
      <c r="E145" s="102"/>
      <c r="F145" s="17"/>
      <c r="G145" s="17"/>
      <c r="H145" s="17"/>
      <c r="I145" s="17"/>
      <c r="J145" s="17"/>
      <c r="K145" s="17"/>
    </row>
    <row r="146" spans="2:11" x14ac:dyDescent="0.2">
      <c r="B146" s="75" t="s">
        <v>94</v>
      </c>
      <c r="C146" s="101"/>
      <c r="D146" s="101"/>
      <c r="E146" s="102"/>
      <c r="F146" s="17">
        <f>-F124</f>
        <v>-2087.1556295571336</v>
      </c>
      <c r="G146" s="17">
        <f t="shared" ref="G146:K146" si="71">-G124</f>
        <v>-3255.3388666773481</v>
      </c>
      <c r="H146" s="17">
        <f t="shared" si="71"/>
        <v>-5077.3555104507232</v>
      </c>
      <c r="I146" s="17">
        <f t="shared" si="71"/>
        <v>-7919.1568175564253</v>
      </c>
      <c r="J146" s="17">
        <f t="shared" si="71"/>
        <v>-12351.517354254222</v>
      </c>
      <c r="K146" s="17">
        <f t="shared" si="71"/>
        <v>-19264.67482172147</v>
      </c>
    </row>
    <row r="147" spans="2:11" x14ac:dyDescent="0.2">
      <c r="B147" s="80" t="s">
        <v>104</v>
      </c>
      <c r="C147" s="104"/>
      <c r="D147" s="104"/>
      <c r="E147" s="105"/>
      <c r="F147" s="106">
        <f>F146</f>
        <v>-2087.1556295571336</v>
      </c>
      <c r="G147" s="36">
        <f t="shared" ref="G147:K147" si="72">G146</f>
        <v>-3255.3388666773481</v>
      </c>
      <c r="H147" s="36">
        <f t="shared" si="72"/>
        <v>-5077.3555104507232</v>
      </c>
      <c r="I147" s="36">
        <f t="shared" si="72"/>
        <v>-7919.1568175564253</v>
      </c>
      <c r="J147" s="36">
        <f t="shared" si="72"/>
        <v>-12351.517354254222</v>
      </c>
      <c r="K147" s="36">
        <f t="shared" si="72"/>
        <v>-19264.67482172147</v>
      </c>
    </row>
    <row r="148" spans="2:11" x14ac:dyDescent="0.2">
      <c r="B148" s="75"/>
      <c r="C148" s="101"/>
      <c r="D148" s="101"/>
      <c r="E148" s="102"/>
      <c r="F148" s="17"/>
      <c r="G148" s="17"/>
      <c r="H148" s="17"/>
      <c r="I148" s="17"/>
      <c r="J148" s="17"/>
      <c r="K148" s="17"/>
    </row>
    <row r="149" spans="2:11" x14ac:dyDescent="0.2">
      <c r="B149" s="75" t="s">
        <v>105</v>
      </c>
      <c r="C149" s="92"/>
      <c r="D149" s="92"/>
      <c r="E149" s="103"/>
      <c r="F149" s="17">
        <f t="shared" ref="F149:K149" ca="1" si="73">F198</f>
        <v>0</v>
      </c>
      <c r="G149" s="17">
        <f t="shared" ca="1" si="73"/>
        <v>0</v>
      </c>
      <c r="H149" s="17">
        <f t="shared" ca="1" si="73"/>
        <v>0</v>
      </c>
      <c r="I149" s="17">
        <f t="shared" ca="1" si="73"/>
        <v>0</v>
      </c>
      <c r="J149" s="17">
        <f t="shared" ca="1" si="73"/>
        <v>0</v>
      </c>
      <c r="K149" s="17">
        <f t="shared" ca="1" si="73"/>
        <v>0</v>
      </c>
    </row>
    <row r="150" spans="2:11" x14ac:dyDescent="0.2">
      <c r="B150" s="75" t="s">
        <v>106</v>
      </c>
      <c r="C150" s="101"/>
      <c r="D150" s="101"/>
      <c r="E150" s="102"/>
      <c r="F150" s="17">
        <f t="shared" ref="F150:K150" si="74">F192</f>
        <v>54</v>
      </c>
      <c r="G150" s="17">
        <f t="shared" si="74"/>
        <v>220</v>
      </c>
      <c r="H150" s="17">
        <f t="shared" si="74"/>
        <v>198</v>
      </c>
      <c r="I150" s="17">
        <f t="shared" si="74"/>
        <v>180</v>
      </c>
      <c r="J150" s="17">
        <f t="shared" si="74"/>
        <v>166</v>
      </c>
      <c r="K150" s="17">
        <f t="shared" si="74"/>
        <v>144</v>
      </c>
    </row>
    <row r="151" spans="2:11" x14ac:dyDescent="0.2">
      <c r="B151" s="75" t="s">
        <v>107</v>
      </c>
      <c r="C151" s="101"/>
      <c r="D151" s="101"/>
      <c r="E151" s="102"/>
      <c r="F151" s="17">
        <f t="shared" ref="F151:K151" si="75">F191</f>
        <v>-54</v>
      </c>
      <c r="G151" s="17">
        <f t="shared" si="75"/>
        <v>-220</v>
      </c>
      <c r="H151" s="17">
        <f t="shared" si="75"/>
        <v>-198</v>
      </c>
      <c r="I151" s="17">
        <f t="shared" si="75"/>
        <v>-180</v>
      </c>
      <c r="J151" s="17">
        <f t="shared" si="75"/>
        <v>-166</v>
      </c>
      <c r="K151" s="17">
        <f t="shared" si="75"/>
        <v>-144</v>
      </c>
    </row>
    <row r="152" spans="2:11" x14ac:dyDescent="0.2">
      <c r="B152" s="75" t="s">
        <v>108</v>
      </c>
      <c r="C152" s="101"/>
      <c r="D152" s="101"/>
      <c r="E152" s="102"/>
      <c r="F152" s="17">
        <f>F166</f>
        <v>8000</v>
      </c>
      <c r="G152" s="17">
        <f t="shared" ref="G152:K153" si="76">G166</f>
        <v>8000</v>
      </c>
      <c r="H152" s="17">
        <f t="shared" si="76"/>
        <v>8000</v>
      </c>
      <c r="I152" s="17">
        <f t="shared" si="76"/>
        <v>8000</v>
      </c>
      <c r="J152" s="17">
        <f t="shared" si="76"/>
        <v>8000</v>
      </c>
      <c r="K152" s="17">
        <f t="shared" si="76"/>
        <v>8000</v>
      </c>
    </row>
    <row r="153" spans="2:11" x14ac:dyDescent="0.2">
      <c r="B153" s="75" t="s">
        <v>109</v>
      </c>
      <c r="C153" s="101"/>
      <c r="D153" s="101"/>
      <c r="E153" s="102"/>
      <c r="F153" s="17">
        <f ca="1">F167</f>
        <v>0</v>
      </c>
      <c r="G153" s="17">
        <f t="shared" ca="1" si="76"/>
        <v>0</v>
      </c>
      <c r="H153" s="17">
        <f t="shared" ca="1" si="76"/>
        <v>0</v>
      </c>
      <c r="I153" s="17">
        <f t="shared" ca="1" si="76"/>
        <v>0</v>
      </c>
      <c r="J153" s="17">
        <f t="shared" ca="1" si="76"/>
        <v>0</v>
      </c>
      <c r="K153" s="17">
        <f t="shared" ca="1" si="76"/>
        <v>0</v>
      </c>
    </row>
    <row r="154" spans="2:11" x14ac:dyDescent="0.2">
      <c r="B154" s="75" t="s">
        <v>110</v>
      </c>
      <c r="C154" s="101"/>
      <c r="D154" s="101"/>
      <c r="E154" s="102"/>
      <c r="F154" s="17"/>
      <c r="G154" s="17"/>
      <c r="H154" s="17"/>
      <c r="I154" s="17"/>
      <c r="J154" s="17"/>
      <c r="K154" s="17"/>
    </row>
    <row r="155" spans="2:11" x14ac:dyDescent="0.2">
      <c r="B155" s="80" t="s">
        <v>111</v>
      </c>
      <c r="C155" s="101"/>
      <c r="D155" s="101"/>
      <c r="E155" s="101"/>
      <c r="F155" s="107">
        <f ca="1">SUM(F149:F154)</f>
        <v>8000</v>
      </c>
      <c r="G155" s="108">
        <f t="shared" ref="G155:K155" ca="1" si="77">SUM(G149:G154)</f>
        <v>8000</v>
      </c>
      <c r="H155" s="108">
        <f t="shared" ca="1" si="77"/>
        <v>8000</v>
      </c>
      <c r="I155" s="108">
        <f t="shared" ca="1" si="77"/>
        <v>8000</v>
      </c>
      <c r="J155" s="108">
        <f t="shared" ca="1" si="77"/>
        <v>8000</v>
      </c>
      <c r="K155" s="108">
        <f t="shared" ca="1" si="77"/>
        <v>8000</v>
      </c>
    </row>
    <row r="156" spans="2:11" x14ac:dyDescent="0.2">
      <c r="B156" s="75"/>
      <c r="C156" s="101"/>
      <c r="D156" s="101"/>
      <c r="E156" s="102"/>
      <c r="F156" s="17"/>
      <c r="G156" s="17"/>
      <c r="H156" s="17"/>
      <c r="I156" s="17"/>
      <c r="J156" s="17"/>
      <c r="K156" s="17"/>
    </row>
    <row r="157" spans="2:11" x14ac:dyDescent="0.2">
      <c r="B157" s="75" t="s">
        <v>112</v>
      </c>
      <c r="C157" s="109"/>
      <c r="D157" s="109"/>
      <c r="E157" s="110"/>
      <c r="F157" s="17">
        <f>E58</f>
        <v>5855</v>
      </c>
      <c r="G157" s="17">
        <f ca="1">F159</f>
        <v>20051.124193020463</v>
      </c>
      <c r="H157" s="17">
        <f t="shared" ref="H157:K157" ca="1" si="78">G159</f>
        <v>38007.463947525124</v>
      </c>
      <c r="I157" s="17">
        <f t="shared" ca="1" si="78"/>
        <v>61777.143585060679</v>
      </c>
      <c r="J157" s="17">
        <f t="shared" ca="1" si="78"/>
        <v>94562.460051645627</v>
      </c>
      <c r="K157" s="17">
        <f t="shared" ca="1" si="78"/>
        <v>141378.06663146982</v>
      </c>
    </row>
    <row r="158" spans="2:11" x14ac:dyDescent="0.2">
      <c r="B158" s="75" t="s">
        <v>113</v>
      </c>
      <c r="C158" s="101"/>
      <c r="D158" s="101"/>
      <c r="E158" s="102"/>
      <c r="F158" s="17">
        <f ca="1">SUM(F144,F147,F155)</f>
        <v>14196.124193020461</v>
      </c>
      <c r="G158" s="17">
        <f ca="1">SUM(G144,G147,G155)</f>
        <v>17956.339754504661</v>
      </c>
      <c r="H158" s="17">
        <f t="shared" ref="H158:K158" ca="1" si="79">SUM(H144,H147,H155)</f>
        <v>23769.679637535555</v>
      </c>
      <c r="I158" s="17">
        <f t="shared" ca="1" si="79"/>
        <v>32785.316466584947</v>
      </c>
      <c r="J158" s="17">
        <f t="shared" ca="1" si="79"/>
        <v>46815.606579824191</v>
      </c>
      <c r="K158" s="17">
        <f t="shared" ca="1" si="79"/>
        <v>67488.001308553998</v>
      </c>
    </row>
    <row r="159" spans="2:11" x14ac:dyDescent="0.2">
      <c r="B159" s="75" t="s">
        <v>114</v>
      </c>
      <c r="C159" s="111"/>
      <c r="D159" s="111"/>
      <c r="E159" s="112"/>
      <c r="F159" s="107">
        <f ca="1">SUM(F158,F157)</f>
        <v>20051.124193020463</v>
      </c>
      <c r="G159" s="108">
        <f t="shared" ref="G159:K159" ca="1" si="80">SUM(G158,G157)</f>
        <v>38007.463947525124</v>
      </c>
      <c r="H159" s="108">
        <f t="shared" ca="1" si="80"/>
        <v>61777.143585060679</v>
      </c>
      <c r="I159" s="108">
        <f t="shared" ca="1" si="80"/>
        <v>94562.460051645627</v>
      </c>
      <c r="J159" s="108">
        <f t="shared" ca="1" si="80"/>
        <v>141378.06663146982</v>
      </c>
      <c r="K159" s="108">
        <f t="shared" ca="1" si="80"/>
        <v>208866.06794002382</v>
      </c>
    </row>
    <row r="160" spans="2:11" x14ac:dyDescent="0.2">
      <c r="B160" s="62"/>
      <c r="C160" s="113"/>
      <c r="D160" s="113"/>
      <c r="E160" s="113"/>
      <c r="F160" s="55"/>
      <c r="G160" s="55"/>
      <c r="H160" s="55"/>
      <c r="I160" s="55"/>
      <c r="J160" s="55"/>
      <c r="K160" s="55"/>
    </row>
    <row r="161" spans="2:12" ht="20" x14ac:dyDescent="0.2">
      <c r="B161" s="114" t="s">
        <v>115</v>
      </c>
      <c r="C161" s="115"/>
      <c r="D161" s="115"/>
      <c r="E161" s="115"/>
      <c r="F161" s="116"/>
      <c r="G161" s="116"/>
      <c r="H161" s="116"/>
      <c r="I161" s="116"/>
      <c r="J161" s="116"/>
      <c r="K161" s="116"/>
    </row>
    <row r="162" spans="2:12" x14ac:dyDescent="0.2">
      <c r="B162" s="62"/>
      <c r="C162" s="12">
        <f>EOMONTH(D162,-12)</f>
        <v>44196</v>
      </c>
      <c r="D162" s="12">
        <f>EOMONTH(E162,-12)</f>
        <v>44561</v>
      </c>
      <c r="E162" s="13">
        <f>$C$9</f>
        <v>44926</v>
      </c>
      <c r="F162" s="12">
        <f>EOMONTH(E162,12)</f>
        <v>45291</v>
      </c>
      <c r="G162" s="12">
        <f t="shared" ref="G162:K162" si="81">EOMONTH(F162,12)</f>
        <v>45657</v>
      </c>
      <c r="H162" s="12">
        <f t="shared" si="81"/>
        <v>46022</v>
      </c>
      <c r="I162" s="12">
        <f t="shared" si="81"/>
        <v>46387</v>
      </c>
      <c r="J162" s="12">
        <f t="shared" si="81"/>
        <v>46752</v>
      </c>
      <c r="K162" s="12">
        <f t="shared" si="81"/>
        <v>47118</v>
      </c>
    </row>
    <row r="163" spans="2:12" x14ac:dyDescent="0.2">
      <c r="B163" s="117" t="s">
        <v>116</v>
      </c>
      <c r="C163" s="101"/>
      <c r="D163" s="101"/>
      <c r="E163" s="105"/>
      <c r="F163" s="55"/>
      <c r="G163" s="55"/>
      <c r="H163" s="55"/>
      <c r="I163" s="55"/>
      <c r="J163" s="55"/>
      <c r="K163" s="55"/>
    </row>
    <row r="164" spans="2:12" x14ac:dyDescent="0.2">
      <c r="B164" s="75" t="s">
        <v>117</v>
      </c>
      <c r="C164" s="92"/>
      <c r="D164" s="92"/>
      <c r="E164" s="103"/>
      <c r="F164" s="17">
        <f>E92</f>
        <v>56450</v>
      </c>
      <c r="G164" s="17">
        <f ca="1">F169</f>
        <v>71004.665512493331</v>
      </c>
      <c r="H164" s="17">
        <f t="shared" ref="H164:K164" ca="1" si="82">G169</f>
        <v>91491.542699219441</v>
      </c>
      <c r="I164" s="17">
        <f t="shared" ca="1" si="82"/>
        <v>120557.53992985966</v>
      </c>
      <c r="J164" s="17">
        <f t="shared" ca="1" si="82"/>
        <v>162712.03152267958</v>
      </c>
      <c r="K164" s="17">
        <f t="shared" ca="1" si="82"/>
        <v>225184.68635962339</v>
      </c>
    </row>
    <row r="165" spans="2:12" x14ac:dyDescent="0.2">
      <c r="B165" s="75" t="s">
        <v>118</v>
      </c>
      <c r="C165" s="101"/>
      <c r="D165" s="101"/>
      <c r="E165" s="102"/>
      <c r="F165" s="17">
        <f t="shared" ref="F165:K165" ca="1" si="83">F39</f>
        <v>6554.6655124933332</v>
      </c>
      <c r="G165" s="17">
        <f t="shared" ca="1" si="83"/>
        <v>12486.877186726109</v>
      </c>
      <c r="H165" s="17">
        <f t="shared" ca="1" si="83"/>
        <v>21065.997230640216</v>
      </c>
      <c r="I165" s="17">
        <f t="shared" ca="1" si="83"/>
        <v>34154.491592819926</v>
      </c>
      <c r="J165" s="17">
        <f t="shared" ca="1" si="83"/>
        <v>54472.654836943824</v>
      </c>
      <c r="K165" s="17">
        <f t="shared" ca="1" si="83"/>
        <v>74651.363995527543</v>
      </c>
    </row>
    <row r="166" spans="2:12" x14ac:dyDescent="0.2">
      <c r="B166" s="75" t="s">
        <v>108</v>
      </c>
      <c r="C166" s="92"/>
      <c r="D166" s="92"/>
      <c r="E166" s="103"/>
      <c r="F166" s="57">
        <v>8000</v>
      </c>
      <c r="G166" s="17">
        <f>F166</f>
        <v>8000</v>
      </c>
      <c r="H166" s="17">
        <f t="shared" ref="H166:K166" si="84">G166</f>
        <v>8000</v>
      </c>
      <c r="I166" s="17">
        <f t="shared" si="84"/>
        <v>8000</v>
      </c>
      <c r="J166" s="17">
        <f t="shared" si="84"/>
        <v>8000</v>
      </c>
      <c r="K166" s="17">
        <f t="shared" si="84"/>
        <v>8000</v>
      </c>
    </row>
    <row r="167" spans="2:12" x14ac:dyDescent="0.2">
      <c r="B167" s="75" t="s">
        <v>109</v>
      </c>
      <c r="C167" s="101"/>
      <c r="D167" s="101"/>
      <c r="E167" s="102"/>
      <c r="F167" s="55">
        <f ca="1">-F173</f>
        <v>0</v>
      </c>
      <c r="G167" s="55">
        <f t="shared" ref="G167:K167" ca="1" si="85">-G173</f>
        <v>0</v>
      </c>
      <c r="H167" s="55">
        <f t="shared" ca="1" si="85"/>
        <v>0</v>
      </c>
      <c r="I167" s="55">
        <f t="shared" ca="1" si="85"/>
        <v>0</v>
      </c>
      <c r="J167" s="55">
        <f t="shared" ca="1" si="85"/>
        <v>0</v>
      </c>
      <c r="K167" s="55">
        <f t="shared" ca="1" si="85"/>
        <v>0</v>
      </c>
    </row>
    <row r="168" spans="2:12" x14ac:dyDescent="0.2">
      <c r="B168" s="75" t="s">
        <v>110</v>
      </c>
      <c r="C168" s="92"/>
      <c r="D168" s="92"/>
      <c r="E168" s="103"/>
      <c r="F168" s="17"/>
      <c r="G168" s="17"/>
      <c r="H168" s="17"/>
      <c r="I168" s="17"/>
      <c r="J168" s="17"/>
      <c r="K168" s="17"/>
    </row>
    <row r="169" spans="2:12" x14ac:dyDescent="0.2">
      <c r="B169" s="80" t="s">
        <v>119</v>
      </c>
      <c r="C169" s="104"/>
      <c r="D169" s="104"/>
      <c r="E169" s="105"/>
      <c r="F169" s="106">
        <f ca="1">SUM(F164:F168)</f>
        <v>71004.665512493331</v>
      </c>
      <c r="G169" s="36">
        <f t="shared" ref="G169:K169" ca="1" si="86">SUM(G164:G168)</f>
        <v>91491.542699219441</v>
      </c>
      <c r="H169" s="36">
        <f t="shared" ca="1" si="86"/>
        <v>120557.53992985966</v>
      </c>
      <c r="I169" s="36">
        <f t="shared" ca="1" si="86"/>
        <v>162712.03152267958</v>
      </c>
      <c r="J169" s="36">
        <f t="shared" ca="1" si="86"/>
        <v>225184.68635962339</v>
      </c>
      <c r="K169" s="36">
        <f t="shared" ca="1" si="86"/>
        <v>307836.05035515095</v>
      </c>
    </row>
    <row r="170" spans="2:12" x14ac:dyDescent="0.2">
      <c r="B170" s="75"/>
      <c r="C170" s="113"/>
      <c r="D170" s="113"/>
      <c r="E170" s="118"/>
      <c r="F170" s="55"/>
      <c r="G170" s="55"/>
      <c r="H170" s="55"/>
      <c r="I170" s="55"/>
      <c r="J170" s="55"/>
      <c r="K170" s="55"/>
    </row>
    <row r="171" spans="2:12" x14ac:dyDescent="0.2">
      <c r="B171" s="117" t="s">
        <v>109</v>
      </c>
      <c r="C171" s="113"/>
      <c r="D171" s="113"/>
      <c r="E171" s="118"/>
      <c r="F171" s="55"/>
      <c r="G171" s="55"/>
      <c r="H171" s="55"/>
      <c r="I171" s="55"/>
      <c r="J171" s="55"/>
      <c r="K171" s="55"/>
    </row>
    <row r="172" spans="2:12" x14ac:dyDescent="0.2">
      <c r="B172" s="75" t="s">
        <v>120</v>
      </c>
      <c r="C172" s="119">
        <f>C173/C39</f>
        <v>0</v>
      </c>
      <c r="D172" s="119">
        <f>D173/D39</f>
        <v>0</v>
      </c>
      <c r="E172" s="120">
        <f>E173/E39</f>
        <v>0</v>
      </c>
      <c r="F172" s="95">
        <v>0</v>
      </c>
      <c r="G172" s="96">
        <f>F172</f>
        <v>0</v>
      </c>
      <c r="H172" s="96">
        <f t="shared" ref="H172:K172" si="87">G172</f>
        <v>0</v>
      </c>
      <c r="I172" s="96">
        <f t="shared" si="87"/>
        <v>0</v>
      </c>
      <c r="J172" s="96">
        <f t="shared" si="87"/>
        <v>0</v>
      </c>
      <c r="K172" s="96">
        <f t="shared" si="87"/>
        <v>0</v>
      </c>
    </row>
    <row r="173" spans="2:12" x14ac:dyDescent="0.2">
      <c r="B173" s="75" t="s">
        <v>109</v>
      </c>
      <c r="C173" s="121">
        <v>0</v>
      </c>
      <c r="D173" s="121">
        <v>0</v>
      </c>
      <c r="E173" s="122">
        <v>0</v>
      </c>
      <c r="F173" s="55">
        <f t="shared" ref="F173:K173" ca="1" si="88">F39*F172</f>
        <v>0</v>
      </c>
      <c r="G173" s="55">
        <f t="shared" ca="1" si="88"/>
        <v>0</v>
      </c>
      <c r="H173" s="55">
        <f t="shared" ca="1" si="88"/>
        <v>0</v>
      </c>
      <c r="I173" s="55">
        <f t="shared" ca="1" si="88"/>
        <v>0</v>
      </c>
      <c r="J173" s="55">
        <f t="shared" ca="1" si="88"/>
        <v>0</v>
      </c>
      <c r="K173" s="55">
        <f t="shared" ca="1" si="88"/>
        <v>0</v>
      </c>
    </row>
    <row r="174" spans="2:12" x14ac:dyDescent="0.2">
      <c r="B174" s="75"/>
      <c r="C174" s="55"/>
      <c r="D174" s="55"/>
      <c r="E174" s="76"/>
      <c r="F174" s="55"/>
      <c r="G174" s="55"/>
      <c r="H174" s="55"/>
      <c r="I174" s="55"/>
      <c r="J174" s="55"/>
      <c r="K174" s="55"/>
    </row>
    <row r="175" spans="2:12" x14ac:dyDescent="0.2">
      <c r="B175" s="117" t="s">
        <v>110</v>
      </c>
      <c r="C175" s="113"/>
      <c r="D175" s="113"/>
      <c r="E175" s="118"/>
      <c r="F175" s="55"/>
      <c r="G175" s="55"/>
      <c r="H175" s="55"/>
      <c r="I175" s="55"/>
      <c r="J175" s="55"/>
      <c r="K175" s="55"/>
      <c r="L175" s="5" t="s">
        <v>121</v>
      </c>
    </row>
    <row r="176" spans="2:12" x14ac:dyDescent="0.2">
      <c r="B176" s="75" t="s">
        <v>122</v>
      </c>
      <c r="C176" s="100"/>
      <c r="D176" s="100"/>
      <c r="E176" s="123"/>
      <c r="F176" s="17"/>
      <c r="G176" s="17"/>
      <c r="H176" s="17"/>
      <c r="I176" s="17"/>
      <c r="J176" s="17"/>
      <c r="K176" s="17"/>
      <c r="L176" s="124">
        <f ca="1">E176+$L$176</f>
        <v>0</v>
      </c>
    </row>
    <row r="177" spans="2:11" x14ac:dyDescent="0.2">
      <c r="B177" s="75" t="s">
        <v>110</v>
      </c>
      <c r="C177" s="61"/>
      <c r="D177" s="61"/>
      <c r="E177" s="60"/>
      <c r="F177" s="17"/>
      <c r="G177" s="17"/>
      <c r="H177" s="17"/>
      <c r="I177" s="17"/>
      <c r="J177" s="17"/>
      <c r="K177" s="17"/>
    </row>
    <row r="178" spans="2:11" x14ac:dyDescent="0.2">
      <c r="B178" s="62"/>
      <c r="C178" s="113"/>
      <c r="D178" s="113"/>
      <c r="E178" s="113"/>
      <c r="F178" s="55"/>
      <c r="G178" s="55"/>
      <c r="H178" s="55"/>
      <c r="I178" s="55"/>
      <c r="J178" s="55"/>
      <c r="K178" s="55"/>
    </row>
    <row r="179" spans="2:11" ht="20" x14ac:dyDescent="0.2">
      <c r="B179" s="114" t="s">
        <v>123</v>
      </c>
      <c r="C179" s="115"/>
      <c r="D179" s="115"/>
      <c r="E179" s="115"/>
      <c r="F179" s="116"/>
      <c r="G179" s="116"/>
      <c r="H179" s="116"/>
      <c r="I179" s="116"/>
      <c r="J179" s="116"/>
      <c r="K179" s="116"/>
    </row>
    <row r="180" spans="2:11" x14ac:dyDescent="0.2">
      <c r="B180" s="66"/>
      <c r="C180" s="12">
        <f>EOMONTH(D180,-12)</f>
        <v>44196</v>
      </c>
      <c r="D180" s="12">
        <f>EOMONTH(E180,-12)</f>
        <v>44561</v>
      </c>
      <c r="E180" s="13">
        <f>$C$9</f>
        <v>44926</v>
      </c>
      <c r="F180" s="12">
        <f>EOMONTH(E180,12)</f>
        <v>45291</v>
      </c>
      <c r="G180" s="12">
        <f t="shared" ref="G180:K180" si="89">EOMONTH(F180,12)</f>
        <v>45657</v>
      </c>
      <c r="H180" s="12">
        <f t="shared" si="89"/>
        <v>46022</v>
      </c>
      <c r="I180" s="12">
        <f t="shared" si="89"/>
        <v>46387</v>
      </c>
      <c r="J180" s="12">
        <f t="shared" si="89"/>
        <v>46752</v>
      </c>
      <c r="K180" s="12">
        <f t="shared" si="89"/>
        <v>47118</v>
      </c>
    </row>
    <row r="181" spans="2:11" x14ac:dyDescent="0.2">
      <c r="B181" s="75" t="s">
        <v>124</v>
      </c>
      <c r="C181" s="101"/>
      <c r="D181" s="101"/>
      <c r="E181" s="102"/>
      <c r="F181" s="17">
        <f ca="1">F144+F147</f>
        <v>6196.1241930204615</v>
      </c>
      <c r="G181" s="17">
        <f t="shared" ref="G181:K181" ca="1" si="90">G144+G147</f>
        <v>9956.3397545046628</v>
      </c>
      <c r="H181" s="17">
        <f t="shared" ca="1" si="90"/>
        <v>15769.679637535553</v>
      </c>
      <c r="I181" s="17">
        <f t="shared" ca="1" si="90"/>
        <v>24785.316466584947</v>
      </c>
      <c r="J181" s="17">
        <f t="shared" ca="1" si="90"/>
        <v>38815.606579824191</v>
      </c>
      <c r="K181" s="17">
        <f t="shared" ca="1" si="90"/>
        <v>59488.00130855399</v>
      </c>
    </row>
    <row r="182" spans="2:11" x14ac:dyDescent="0.2">
      <c r="B182" s="125" t="s">
        <v>125</v>
      </c>
      <c r="C182" s="101"/>
      <c r="D182" s="101"/>
      <c r="E182" s="102"/>
      <c r="F182" s="17">
        <f>F166</f>
        <v>8000</v>
      </c>
      <c r="G182" s="17">
        <f t="shared" ref="G182:K183" si="91">G166</f>
        <v>8000</v>
      </c>
      <c r="H182" s="17">
        <f t="shared" si="91"/>
        <v>8000</v>
      </c>
      <c r="I182" s="17">
        <f t="shared" si="91"/>
        <v>8000</v>
      </c>
      <c r="J182" s="17">
        <f t="shared" si="91"/>
        <v>8000</v>
      </c>
      <c r="K182" s="17">
        <f t="shared" si="91"/>
        <v>8000</v>
      </c>
    </row>
    <row r="183" spans="2:11" x14ac:dyDescent="0.2">
      <c r="B183" s="125" t="s">
        <v>109</v>
      </c>
      <c r="C183" s="20"/>
      <c r="D183" s="20"/>
      <c r="E183" s="47"/>
      <c r="F183" s="55">
        <f ca="1">F167</f>
        <v>0</v>
      </c>
      <c r="G183" s="55">
        <f t="shared" ca="1" si="91"/>
        <v>0</v>
      </c>
      <c r="H183" s="55">
        <f t="shared" ca="1" si="91"/>
        <v>0</v>
      </c>
      <c r="I183" s="55">
        <f t="shared" ca="1" si="91"/>
        <v>0</v>
      </c>
      <c r="J183" s="55">
        <f t="shared" ca="1" si="91"/>
        <v>0</v>
      </c>
      <c r="K183" s="55">
        <f t="shared" ca="1" si="91"/>
        <v>0</v>
      </c>
    </row>
    <row r="184" spans="2:11" x14ac:dyDescent="0.2">
      <c r="B184" s="125" t="s">
        <v>126</v>
      </c>
      <c r="C184" s="20"/>
      <c r="D184" s="20"/>
      <c r="E184" s="47"/>
      <c r="F184" s="55"/>
      <c r="G184" s="55"/>
      <c r="H184" s="55"/>
      <c r="I184" s="55"/>
      <c r="J184" s="55"/>
      <c r="K184" s="55"/>
    </row>
    <row r="185" spans="2:11" x14ac:dyDescent="0.2">
      <c r="B185" s="125" t="s">
        <v>127</v>
      </c>
      <c r="C185" s="20"/>
      <c r="D185" s="20"/>
      <c r="E185" s="47"/>
      <c r="F185" s="17">
        <f>E58</f>
        <v>5855</v>
      </c>
      <c r="G185" s="17">
        <f t="shared" ref="G185:K185" ca="1" si="92">F58</f>
        <v>20051.124193020463</v>
      </c>
      <c r="H185" s="17">
        <f t="shared" ca="1" si="92"/>
        <v>38007.463947525124</v>
      </c>
      <c r="I185" s="17">
        <f t="shared" ca="1" si="92"/>
        <v>61777.143585060679</v>
      </c>
      <c r="J185" s="17">
        <f t="shared" ca="1" si="92"/>
        <v>94562.460051645627</v>
      </c>
      <c r="K185" s="17">
        <f t="shared" ca="1" si="92"/>
        <v>141378.06663146982</v>
      </c>
    </row>
    <row r="186" spans="2:11" x14ac:dyDescent="0.2">
      <c r="B186" s="125" t="s">
        <v>128</v>
      </c>
      <c r="C186" s="20"/>
      <c r="D186" s="20"/>
      <c r="E186" s="47"/>
      <c r="F186" s="57">
        <v>1000</v>
      </c>
      <c r="G186" s="17">
        <f>F186</f>
        <v>1000</v>
      </c>
      <c r="H186" s="17">
        <f t="shared" ref="H186:K186" si="93">G186</f>
        <v>1000</v>
      </c>
      <c r="I186" s="17">
        <f t="shared" si="93"/>
        <v>1000</v>
      </c>
      <c r="J186" s="17">
        <f t="shared" si="93"/>
        <v>1000</v>
      </c>
      <c r="K186" s="17">
        <f t="shared" si="93"/>
        <v>1000</v>
      </c>
    </row>
    <row r="187" spans="2:11" x14ac:dyDescent="0.2">
      <c r="B187" s="80" t="s">
        <v>129</v>
      </c>
      <c r="C187" s="81"/>
      <c r="D187" s="81"/>
      <c r="E187" s="126"/>
      <c r="F187" s="108">
        <f ca="1">SUM(F181:F186)</f>
        <v>21051.124193020463</v>
      </c>
      <c r="G187" s="108">
        <f ca="1">SUM(G181:G186)</f>
        <v>39007.463947525124</v>
      </c>
      <c r="H187" s="108">
        <f ca="1">SUM(H181:H186)</f>
        <v>62777.143585060679</v>
      </c>
      <c r="I187" s="108">
        <f t="shared" ref="I187:K187" ca="1" si="94">SUM(I181:I186)</f>
        <v>95562.460051645627</v>
      </c>
      <c r="J187" s="108">
        <f t="shared" ca="1" si="94"/>
        <v>142378.06663146982</v>
      </c>
      <c r="K187" s="108">
        <f t="shared" ca="1" si="94"/>
        <v>209866.06794002382</v>
      </c>
    </row>
    <row r="188" spans="2:11" x14ac:dyDescent="0.2">
      <c r="B188" s="75"/>
      <c r="C188" s="20"/>
      <c r="D188" s="20"/>
      <c r="E188" s="47"/>
      <c r="F188" s="17"/>
      <c r="G188" s="17"/>
      <c r="H188" s="17"/>
      <c r="I188" s="17"/>
      <c r="J188" s="17"/>
      <c r="K188" s="17"/>
    </row>
    <row r="189" spans="2:11" x14ac:dyDescent="0.2">
      <c r="B189" s="117" t="s">
        <v>65</v>
      </c>
      <c r="C189" s="20"/>
      <c r="D189" s="20"/>
      <c r="E189" s="47"/>
      <c r="F189" s="17"/>
      <c r="G189" s="17"/>
      <c r="H189" s="17"/>
      <c r="I189" s="17"/>
      <c r="J189" s="17"/>
      <c r="K189" s="17"/>
    </row>
    <row r="190" spans="2:11" x14ac:dyDescent="0.2">
      <c r="B190" s="75" t="s">
        <v>130</v>
      </c>
      <c r="C190" s="20"/>
      <c r="D190" s="20"/>
      <c r="E190" s="47"/>
      <c r="F190" s="17">
        <f>E80</f>
        <v>2467</v>
      </c>
      <c r="G190" s="17">
        <f t="shared" ref="G190:K190" si="95">F80</f>
        <v>2467</v>
      </c>
      <c r="H190" s="17">
        <f t="shared" si="95"/>
        <v>2467</v>
      </c>
      <c r="I190" s="17">
        <f t="shared" si="95"/>
        <v>2467</v>
      </c>
      <c r="J190" s="17">
        <f t="shared" si="95"/>
        <v>2467</v>
      </c>
      <c r="K190" s="17">
        <f t="shared" si="95"/>
        <v>2467</v>
      </c>
    </row>
    <row r="191" spans="2:11" x14ac:dyDescent="0.2">
      <c r="B191" s="75" t="s">
        <v>131</v>
      </c>
      <c r="C191" s="20"/>
      <c r="D191" s="20"/>
      <c r="E191" s="47"/>
      <c r="F191" s="57">
        <v>-54</v>
      </c>
      <c r="G191" s="57">
        <v>-220</v>
      </c>
      <c r="H191" s="57">
        <v>-198</v>
      </c>
      <c r="I191" s="57">
        <v>-180</v>
      </c>
      <c r="J191" s="57">
        <v>-166</v>
      </c>
      <c r="K191" s="57">
        <v>-144</v>
      </c>
    </row>
    <row r="192" spans="2:11" x14ac:dyDescent="0.2">
      <c r="B192" s="75" t="s">
        <v>132</v>
      </c>
      <c r="C192" s="20"/>
      <c r="D192" s="20"/>
      <c r="E192" s="47"/>
      <c r="F192" s="17">
        <f>-F191</f>
        <v>54</v>
      </c>
      <c r="G192" s="17">
        <f t="shared" ref="G192:K192" si="96">-G191</f>
        <v>220</v>
      </c>
      <c r="H192" s="17">
        <f t="shared" si="96"/>
        <v>198</v>
      </c>
      <c r="I192" s="17">
        <f t="shared" si="96"/>
        <v>180</v>
      </c>
      <c r="J192" s="17">
        <f t="shared" si="96"/>
        <v>166</v>
      </c>
      <c r="K192" s="17">
        <f t="shared" si="96"/>
        <v>144</v>
      </c>
    </row>
    <row r="193" spans="2:11" x14ac:dyDescent="0.2">
      <c r="B193" s="75" t="s">
        <v>133</v>
      </c>
      <c r="C193" s="81"/>
      <c r="D193" s="81"/>
      <c r="E193" s="81"/>
      <c r="F193" s="107">
        <f>SUM(F190:F192)</f>
        <v>2467</v>
      </c>
      <c r="G193" s="108">
        <f t="shared" ref="G193:K193" si="97">SUM(G190:G192)</f>
        <v>2467</v>
      </c>
      <c r="H193" s="108">
        <f t="shared" si="97"/>
        <v>2467</v>
      </c>
      <c r="I193" s="108">
        <f t="shared" si="97"/>
        <v>2467</v>
      </c>
      <c r="J193" s="108">
        <f t="shared" si="97"/>
        <v>2467</v>
      </c>
      <c r="K193" s="108">
        <f t="shared" si="97"/>
        <v>2467</v>
      </c>
    </row>
    <row r="194" spans="2:11" x14ac:dyDescent="0.2">
      <c r="B194" s="75"/>
      <c r="C194" s="20"/>
      <c r="D194" s="20"/>
      <c r="E194" s="47"/>
      <c r="F194" s="17"/>
      <c r="G194" s="17"/>
      <c r="H194" s="17"/>
      <c r="I194" s="17"/>
      <c r="J194" s="17"/>
      <c r="K194" s="17"/>
    </row>
    <row r="195" spans="2:11" x14ac:dyDescent="0.2">
      <c r="B195" s="117" t="s">
        <v>134</v>
      </c>
      <c r="C195" s="20"/>
      <c r="D195" s="20"/>
      <c r="E195" s="47"/>
      <c r="F195" s="17"/>
      <c r="G195" s="17"/>
      <c r="H195" s="17"/>
      <c r="I195" s="17"/>
      <c r="J195" s="17"/>
      <c r="K195" s="17"/>
    </row>
    <row r="196" spans="2:11" x14ac:dyDescent="0.2">
      <c r="B196" s="75" t="s">
        <v>135</v>
      </c>
      <c r="C196" s="20"/>
      <c r="D196" s="20"/>
      <c r="E196" s="47"/>
      <c r="F196" s="17">
        <f ca="1">F187+SUM(F191:F192)</f>
        <v>21051.124193020463</v>
      </c>
      <c r="G196" s="17">
        <f t="shared" ref="G196:K196" ca="1" si="98">G187+SUM(G191:G192)</f>
        <v>39007.463947525124</v>
      </c>
      <c r="H196" s="17">
        <f t="shared" ca="1" si="98"/>
        <v>62777.143585060679</v>
      </c>
      <c r="I196" s="17">
        <f t="shared" ca="1" si="98"/>
        <v>95562.460051645627</v>
      </c>
      <c r="J196" s="17">
        <f t="shared" ca="1" si="98"/>
        <v>142378.06663146982</v>
      </c>
      <c r="K196" s="17">
        <f t="shared" ca="1" si="98"/>
        <v>209866.06794002382</v>
      </c>
    </row>
    <row r="197" spans="2:11" x14ac:dyDescent="0.2">
      <c r="B197" s="75" t="s">
        <v>136</v>
      </c>
      <c r="C197" s="20"/>
      <c r="D197" s="20"/>
      <c r="E197" s="47"/>
      <c r="F197" s="55">
        <f>E77</f>
        <v>0</v>
      </c>
      <c r="G197" s="55">
        <f ca="1">F199</f>
        <v>0</v>
      </c>
      <c r="H197" s="55">
        <f t="shared" ref="H197:K197" ca="1" si="99">G199</f>
        <v>0</v>
      </c>
      <c r="I197" s="55">
        <f t="shared" ca="1" si="99"/>
        <v>0</v>
      </c>
      <c r="J197" s="55">
        <f t="shared" ca="1" si="99"/>
        <v>0</v>
      </c>
      <c r="K197" s="55">
        <f t="shared" ca="1" si="99"/>
        <v>0</v>
      </c>
    </row>
    <row r="198" spans="2:11" x14ac:dyDescent="0.2">
      <c r="B198" s="75" t="s">
        <v>137</v>
      </c>
      <c r="C198" s="20"/>
      <c r="D198" s="20"/>
      <c r="E198" s="47"/>
      <c r="F198" s="55">
        <f ca="1">-MIN(F196:F197)</f>
        <v>0</v>
      </c>
      <c r="G198" s="55">
        <f t="shared" ref="G198:K198" ca="1" si="100">-MIN(G196:G197)</f>
        <v>0</v>
      </c>
      <c r="H198" s="55">
        <f t="shared" ca="1" si="100"/>
        <v>0</v>
      </c>
      <c r="I198" s="55">
        <f t="shared" ca="1" si="100"/>
        <v>0</v>
      </c>
      <c r="J198" s="55">
        <f t="shared" ca="1" si="100"/>
        <v>0</v>
      </c>
      <c r="K198" s="55">
        <f t="shared" ca="1" si="100"/>
        <v>0</v>
      </c>
    </row>
    <row r="199" spans="2:11" x14ac:dyDescent="0.2">
      <c r="B199" s="75" t="s">
        <v>138</v>
      </c>
      <c r="C199" s="81"/>
      <c r="D199" s="81"/>
      <c r="E199" s="126"/>
      <c r="F199" s="78">
        <f ca="1">SUM(F197:F198)</f>
        <v>0</v>
      </c>
      <c r="G199" s="78">
        <f t="shared" ref="G199:K199" ca="1" si="101">SUM(G197:G198)</f>
        <v>0</v>
      </c>
      <c r="H199" s="78">
        <f t="shared" ca="1" si="101"/>
        <v>0</v>
      </c>
      <c r="I199" s="78">
        <f t="shared" ca="1" si="101"/>
        <v>0</v>
      </c>
      <c r="J199" s="78">
        <f t="shared" ca="1" si="101"/>
        <v>0</v>
      </c>
      <c r="K199" s="78">
        <f t="shared" ca="1" si="101"/>
        <v>0</v>
      </c>
    </row>
    <row r="200" spans="2:11" x14ac:dyDescent="0.2">
      <c r="B200" s="75"/>
      <c r="C200" s="20"/>
      <c r="D200" s="20"/>
      <c r="E200" s="47"/>
      <c r="F200" s="17"/>
      <c r="G200" s="17"/>
      <c r="H200" s="17"/>
      <c r="I200" s="17"/>
      <c r="J200" s="17"/>
      <c r="K200" s="17"/>
    </row>
    <row r="201" spans="2:11" x14ac:dyDescent="0.2">
      <c r="B201" s="117" t="s">
        <v>139</v>
      </c>
      <c r="C201" s="20"/>
      <c r="D201" s="20"/>
      <c r="E201" s="47"/>
      <c r="F201" s="17"/>
      <c r="G201" s="17"/>
      <c r="H201" s="17"/>
      <c r="I201" s="17"/>
      <c r="J201" s="17"/>
      <c r="K201" s="17"/>
    </row>
    <row r="202" spans="2:11" x14ac:dyDescent="0.2">
      <c r="B202" s="75" t="s">
        <v>140</v>
      </c>
      <c r="C202" s="20"/>
      <c r="D202" s="20"/>
      <c r="E202" s="47"/>
      <c r="F202" s="91">
        <v>0.01</v>
      </c>
      <c r="G202" s="89">
        <v>0.01</v>
      </c>
      <c r="H202" s="89">
        <v>0.01</v>
      </c>
      <c r="I202" s="89">
        <v>0.01</v>
      </c>
      <c r="J202" s="89">
        <v>0.01</v>
      </c>
      <c r="K202" s="89">
        <v>0.01</v>
      </c>
    </row>
    <row r="203" spans="2:11" x14ac:dyDescent="0.2">
      <c r="B203" s="75" t="s">
        <v>141</v>
      </c>
      <c r="C203" s="20"/>
      <c r="D203" s="20"/>
      <c r="E203" s="47"/>
      <c r="F203" s="55">
        <f ca="1">AVERAGE(F197,F199)*F202</f>
        <v>0</v>
      </c>
      <c r="G203" s="55">
        <f t="shared" ref="G203:K203" ca="1" si="102">AVERAGE(G197,G199)*G202</f>
        <v>0</v>
      </c>
      <c r="H203" s="55">
        <f t="shared" ca="1" si="102"/>
        <v>0</v>
      </c>
      <c r="I203" s="55">
        <f t="shared" ca="1" si="102"/>
        <v>0</v>
      </c>
      <c r="J203" s="55">
        <f t="shared" ca="1" si="102"/>
        <v>0</v>
      </c>
      <c r="K203" s="55">
        <f t="shared" ca="1" si="102"/>
        <v>0</v>
      </c>
    </row>
    <row r="204" spans="2:11" x14ac:dyDescent="0.2">
      <c r="B204" s="75" t="s">
        <v>142</v>
      </c>
      <c r="C204" s="20"/>
      <c r="D204" s="20"/>
      <c r="E204" s="47"/>
      <c r="F204" s="91">
        <v>3.9E-2</v>
      </c>
      <c r="G204" s="89">
        <f>F204</f>
        <v>3.9E-2</v>
      </c>
      <c r="H204" s="89">
        <f t="shared" ref="H204:K204" si="103">G204</f>
        <v>3.9E-2</v>
      </c>
      <c r="I204" s="89">
        <f t="shared" si="103"/>
        <v>3.9E-2</v>
      </c>
      <c r="J204" s="89">
        <f t="shared" si="103"/>
        <v>3.9E-2</v>
      </c>
      <c r="K204" s="89">
        <f t="shared" si="103"/>
        <v>3.9E-2</v>
      </c>
    </row>
    <row r="205" spans="2:11" x14ac:dyDescent="0.2">
      <c r="B205" s="75" t="s">
        <v>143</v>
      </c>
      <c r="C205" s="20"/>
      <c r="D205" s="20"/>
      <c r="E205" s="47"/>
      <c r="F205" s="17">
        <f>AVERAGE(F190,F193)*F204</f>
        <v>96.212999999999994</v>
      </c>
      <c r="G205" s="17">
        <f t="shared" ref="G205:K205" si="104">AVERAGE(G190,G193)*G204</f>
        <v>96.212999999999994</v>
      </c>
      <c r="H205" s="17">
        <f t="shared" si="104"/>
        <v>96.212999999999994</v>
      </c>
      <c r="I205" s="17">
        <f t="shared" si="104"/>
        <v>96.212999999999994</v>
      </c>
      <c r="J205" s="17">
        <f t="shared" si="104"/>
        <v>96.212999999999994</v>
      </c>
      <c r="K205" s="17">
        <f t="shared" si="104"/>
        <v>96.212999999999994</v>
      </c>
    </row>
    <row r="206" spans="2:11" x14ac:dyDescent="0.2">
      <c r="B206" s="75" t="s">
        <v>144</v>
      </c>
      <c r="C206" s="20"/>
      <c r="D206" s="20"/>
      <c r="E206" s="47"/>
      <c r="F206" s="107">
        <f ca="1">SUM(F203,F205)</f>
        <v>96.212999999999994</v>
      </c>
      <c r="G206" s="108">
        <f ca="1">SUM(G203,G205)</f>
        <v>96.212999999999994</v>
      </c>
      <c r="H206" s="108">
        <f t="shared" ref="H206:K206" ca="1" si="105">SUM(H203,H205)</f>
        <v>96.212999999999994</v>
      </c>
      <c r="I206" s="108">
        <f t="shared" ca="1" si="105"/>
        <v>96.212999999999994</v>
      </c>
      <c r="J206" s="108">
        <f t="shared" ca="1" si="105"/>
        <v>96.212999999999994</v>
      </c>
      <c r="K206" s="108">
        <f t="shared" ca="1" si="105"/>
        <v>96.212999999999994</v>
      </c>
    </row>
    <row r="207" spans="2:11" x14ac:dyDescent="0.2">
      <c r="B207" s="75"/>
      <c r="C207" s="20"/>
      <c r="D207" s="20"/>
      <c r="E207" s="47"/>
      <c r="F207" s="17"/>
      <c r="G207" s="17"/>
      <c r="H207" s="17"/>
      <c r="I207" s="17"/>
      <c r="J207" s="17"/>
      <c r="K207" s="17"/>
    </row>
    <row r="208" spans="2:11" x14ac:dyDescent="0.2">
      <c r="B208" s="75" t="s">
        <v>145</v>
      </c>
      <c r="C208" s="20"/>
      <c r="D208" s="20"/>
      <c r="E208" s="47"/>
      <c r="F208" s="17">
        <f t="shared" ref="F208:K208" ca="1" si="106">AVERAGE(E58:F58)</f>
        <v>12953.062096510232</v>
      </c>
      <c r="G208" s="17">
        <f t="shared" ca="1" si="106"/>
        <v>29029.294070272794</v>
      </c>
      <c r="H208" s="17">
        <f t="shared" ca="1" si="106"/>
        <v>49892.303766292898</v>
      </c>
      <c r="I208" s="17">
        <f t="shared" ca="1" si="106"/>
        <v>78169.801818353153</v>
      </c>
      <c r="J208" s="17">
        <f t="shared" ca="1" si="106"/>
        <v>117970.26334155773</v>
      </c>
      <c r="K208" s="17">
        <f t="shared" ca="1" si="106"/>
        <v>175122.0672857468</v>
      </c>
    </row>
    <row r="209" spans="2:11" x14ac:dyDescent="0.2">
      <c r="B209" s="75" t="s">
        <v>146</v>
      </c>
      <c r="C209" s="20"/>
      <c r="D209" s="20"/>
      <c r="E209" s="47"/>
      <c r="F209" s="91">
        <v>5.0000000000000001E-3</v>
      </c>
      <c r="G209" s="89">
        <f>F209</f>
        <v>5.0000000000000001E-3</v>
      </c>
      <c r="H209" s="89">
        <f t="shared" ref="H209:K209" si="107">G209</f>
        <v>5.0000000000000001E-3</v>
      </c>
      <c r="I209" s="89">
        <f t="shared" si="107"/>
        <v>5.0000000000000001E-3</v>
      </c>
      <c r="J209" s="89">
        <f t="shared" si="107"/>
        <v>5.0000000000000001E-3</v>
      </c>
      <c r="K209" s="89">
        <f t="shared" si="107"/>
        <v>5.0000000000000001E-3</v>
      </c>
    </row>
    <row r="210" spans="2:11" x14ac:dyDescent="0.2">
      <c r="B210" s="75" t="s">
        <v>147</v>
      </c>
      <c r="C210" s="20"/>
      <c r="D210" s="20"/>
      <c r="E210" s="20"/>
      <c r="F210" s="107">
        <f ca="1">F208*F209</f>
        <v>64.765310482551158</v>
      </c>
      <c r="G210" s="108">
        <f t="shared" ref="G210:K210" ca="1" si="108">G208*G209</f>
        <v>145.14647035136397</v>
      </c>
      <c r="H210" s="108">
        <f t="shared" ca="1" si="108"/>
        <v>249.4615188314645</v>
      </c>
      <c r="I210" s="108">
        <f t="shared" ca="1" si="108"/>
        <v>390.84900909176577</v>
      </c>
      <c r="J210" s="108">
        <f t="shared" ca="1" si="108"/>
        <v>589.85131670778867</v>
      </c>
      <c r="K210" s="108">
        <f t="shared" ca="1" si="108"/>
        <v>875.61033642873406</v>
      </c>
    </row>
    <row r="211" spans="2:11" x14ac:dyDescent="0.2">
      <c r="B211" s="75"/>
      <c r="C211" s="20"/>
      <c r="D211" s="20"/>
      <c r="E211" s="47"/>
      <c r="F211" s="17"/>
      <c r="G211" s="17"/>
      <c r="H211" s="17"/>
      <c r="I211" s="17"/>
      <c r="J211" s="17"/>
      <c r="K211" s="17"/>
    </row>
    <row r="212" spans="2:11" x14ac:dyDescent="0.2">
      <c r="B212" s="80" t="s">
        <v>148</v>
      </c>
      <c r="C212" s="20"/>
      <c r="D212" s="20"/>
      <c r="E212" s="47"/>
      <c r="F212" s="29">
        <f ca="1">F206-F210</f>
        <v>31.447689517448836</v>
      </c>
      <c r="G212" s="29">
        <f t="shared" ref="G212:K212" ca="1" si="109">G206-G210</f>
        <v>-48.933470351363979</v>
      </c>
      <c r="H212" s="29">
        <f t="shared" ca="1" si="109"/>
        <v>-153.24851883146451</v>
      </c>
      <c r="I212" s="29">
        <f t="shared" ca="1" si="109"/>
        <v>-294.6360090917658</v>
      </c>
      <c r="J212" s="29">
        <f t="shared" ca="1" si="109"/>
        <v>-493.6383167077887</v>
      </c>
      <c r="K212" s="29">
        <f t="shared" ca="1" si="109"/>
        <v>-779.39733642873409</v>
      </c>
    </row>
    <row r="214" spans="2:11" ht="20" x14ac:dyDescent="0.25">
      <c r="B214" s="9" t="s">
        <v>149</v>
      </c>
      <c r="C214" s="9"/>
      <c r="D214" s="9"/>
      <c r="E214" s="9"/>
      <c r="F214" s="9"/>
      <c r="G214" s="9"/>
      <c r="H214" s="9"/>
      <c r="I214" s="9"/>
      <c r="J214" s="9"/>
      <c r="K214" s="9"/>
    </row>
    <row r="215" spans="2:11" x14ac:dyDescent="0.2">
      <c r="C215" s="12">
        <f>EOMONTH(D215,-12)</f>
        <v>44196</v>
      </c>
      <c r="D215" s="12">
        <f>EOMONTH(E215,-12)</f>
        <v>44561</v>
      </c>
      <c r="E215" s="13">
        <f>$C$9</f>
        <v>44926</v>
      </c>
      <c r="F215" s="12">
        <f>EOMONTH(E215,12)</f>
        <v>45291</v>
      </c>
      <c r="G215" s="12">
        <f t="shared" ref="G215:K215" si="110">EOMONTH(F215,12)</f>
        <v>45657</v>
      </c>
      <c r="H215" s="12">
        <f t="shared" si="110"/>
        <v>46022</v>
      </c>
      <c r="I215" s="12">
        <f t="shared" si="110"/>
        <v>46387</v>
      </c>
      <c r="J215" s="12">
        <f t="shared" si="110"/>
        <v>46752</v>
      </c>
      <c r="K215" s="12">
        <f t="shared" si="110"/>
        <v>47118</v>
      </c>
    </row>
    <row r="216" spans="2:11" x14ac:dyDescent="0.2">
      <c r="B216" t="s">
        <v>150</v>
      </c>
      <c r="C216" s="57">
        <v>1184</v>
      </c>
      <c r="D216" s="57">
        <v>1213</v>
      </c>
      <c r="E216" s="127">
        <v>1561</v>
      </c>
      <c r="F216" s="17">
        <f>E220</f>
        <v>1561</v>
      </c>
      <c r="G216" s="17">
        <f t="shared" ref="G216:K216" ca="1" si="111">F220</f>
        <v>1587.6420218716589</v>
      </c>
      <c r="H216" s="17">
        <f t="shared" ca="1" si="111"/>
        <v>1601.7505669852872</v>
      </c>
      <c r="I216" s="17">
        <f t="shared" ca="1" si="111"/>
        <v>1610.1570303905717</v>
      </c>
      <c r="J216" s="17">
        <f t="shared" ca="1" si="111"/>
        <v>1615.3586624036793</v>
      </c>
      <c r="K216" s="17">
        <f t="shared" ca="1" si="111"/>
        <v>1618.6266562988726</v>
      </c>
    </row>
    <row r="217" spans="2:11" x14ac:dyDescent="0.2">
      <c r="B217" s="75" t="s">
        <v>151</v>
      </c>
      <c r="C217" s="57">
        <v>0</v>
      </c>
      <c r="D217" s="57">
        <v>0</v>
      </c>
      <c r="E217" s="58">
        <v>0</v>
      </c>
      <c r="F217" s="57">
        <f>E217</f>
        <v>0</v>
      </c>
      <c r="G217" s="17">
        <f>F217</f>
        <v>0</v>
      </c>
      <c r="H217" s="17">
        <f t="shared" ref="H217:K218" si="112">G217</f>
        <v>0</v>
      </c>
      <c r="I217" s="17">
        <f t="shared" si="112"/>
        <v>0</v>
      </c>
      <c r="J217" s="17">
        <f t="shared" si="112"/>
        <v>0</v>
      </c>
      <c r="K217" s="17">
        <f t="shared" si="112"/>
        <v>0</v>
      </c>
    </row>
    <row r="218" spans="2:11" x14ac:dyDescent="0.2">
      <c r="B218" t="s">
        <v>152</v>
      </c>
      <c r="C218" s="57">
        <v>0</v>
      </c>
      <c r="D218" s="57">
        <v>0</v>
      </c>
      <c r="E218" s="58">
        <v>0</v>
      </c>
      <c r="F218" s="57">
        <f>E218</f>
        <v>0</v>
      </c>
      <c r="G218" s="17">
        <f>F218</f>
        <v>0</v>
      </c>
      <c r="H218" s="17">
        <f t="shared" si="112"/>
        <v>0</v>
      </c>
      <c r="I218" s="17">
        <f t="shared" si="112"/>
        <v>0</v>
      </c>
      <c r="J218" s="17">
        <f t="shared" si="112"/>
        <v>0</v>
      </c>
      <c r="K218" s="17">
        <f t="shared" si="112"/>
        <v>0</v>
      </c>
    </row>
    <row r="219" spans="2:11" x14ac:dyDescent="0.2">
      <c r="B219" t="s">
        <v>108</v>
      </c>
      <c r="C219" s="17">
        <f>-C228</f>
        <v>0</v>
      </c>
      <c r="D219" s="17">
        <f t="shared" ref="D219:E219" si="113">-D228</f>
        <v>0</v>
      </c>
      <c r="E219" s="128">
        <f t="shared" si="113"/>
        <v>0</v>
      </c>
      <c r="F219" s="17">
        <f ca="1">IF($C$11=1,-F228,0)</f>
        <v>26.642021871658919</v>
      </c>
      <c r="G219" s="17">
        <f t="shared" ref="G219:K219" ca="1" si="114">IF($C$11=1,-G228,0)</f>
        <v>14.108545113628233</v>
      </c>
      <c r="H219" s="17">
        <f t="shared" ca="1" si="114"/>
        <v>8.4064634052844802</v>
      </c>
      <c r="I219" s="17">
        <f t="shared" ca="1" si="114"/>
        <v>5.2016320131076723</v>
      </c>
      <c r="J219" s="17">
        <f t="shared" ca="1" si="114"/>
        <v>3.2679938951931935</v>
      </c>
      <c r="K219" s="17">
        <f t="shared" ca="1" si="114"/>
        <v>2.3881323481773764</v>
      </c>
    </row>
    <row r="220" spans="2:11" x14ac:dyDescent="0.2">
      <c r="B220" t="s">
        <v>153</v>
      </c>
      <c r="C220" s="108">
        <f>SUM(C216:C219)</f>
        <v>1184</v>
      </c>
      <c r="D220" s="108">
        <f t="shared" ref="D220:K220" si="115">SUM(D216:D219)</f>
        <v>1213</v>
      </c>
      <c r="E220" s="129">
        <f t="shared" si="115"/>
        <v>1561</v>
      </c>
      <c r="F220" s="108">
        <f t="shared" ca="1" si="115"/>
        <v>1587.6420218716589</v>
      </c>
      <c r="G220" s="108">
        <f t="shared" ca="1" si="115"/>
        <v>1601.7505669852872</v>
      </c>
      <c r="H220" s="108">
        <f t="shared" ca="1" si="115"/>
        <v>1610.1570303905717</v>
      </c>
      <c r="I220" s="108">
        <f t="shared" ca="1" si="115"/>
        <v>1615.3586624036793</v>
      </c>
      <c r="J220" s="108">
        <f t="shared" ca="1" si="115"/>
        <v>1618.6266562988726</v>
      </c>
      <c r="K220" s="108">
        <f t="shared" ca="1" si="115"/>
        <v>1621.01478864705</v>
      </c>
    </row>
    <row r="221" spans="2:11" x14ac:dyDescent="0.2">
      <c r="E221" s="32"/>
    </row>
    <row r="222" spans="2:11" x14ac:dyDescent="0.2">
      <c r="B222" t="s">
        <v>154</v>
      </c>
      <c r="C222" s="17">
        <f>C223-C220</f>
        <v>23</v>
      </c>
      <c r="D222" s="17">
        <f t="shared" ref="D222:E222" si="116">D223-D220</f>
        <v>16</v>
      </c>
      <c r="E222" s="54">
        <f t="shared" si="116"/>
        <v>10</v>
      </c>
      <c r="F222" s="55">
        <f>E222</f>
        <v>10</v>
      </c>
      <c r="G222" s="55">
        <f>F222</f>
        <v>10</v>
      </c>
      <c r="H222" s="55">
        <f t="shared" ref="H222:K222" si="117">G222</f>
        <v>10</v>
      </c>
      <c r="I222" s="55">
        <f t="shared" si="117"/>
        <v>10</v>
      </c>
      <c r="J222" s="55">
        <f t="shared" si="117"/>
        <v>10</v>
      </c>
      <c r="K222" s="55">
        <f t="shared" si="117"/>
        <v>10</v>
      </c>
    </row>
    <row r="223" spans="2:11" x14ac:dyDescent="0.2">
      <c r="B223" t="s">
        <v>155</v>
      </c>
      <c r="C223" s="174">
        <v>1207</v>
      </c>
      <c r="D223" s="174">
        <v>1229</v>
      </c>
      <c r="E223" s="175">
        <v>1571</v>
      </c>
      <c r="F223" s="17">
        <f ca="1">F220+F222</f>
        <v>1597.6420218716589</v>
      </c>
      <c r="G223" s="17">
        <f t="shared" ref="G223:K223" ca="1" si="118">G220+G222</f>
        <v>1611.7505669852872</v>
      </c>
      <c r="H223" s="17">
        <f t="shared" ca="1" si="118"/>
        <v>1620.1570303905717</v>
      </c>
      <c r="I223" s="17">
        <f t="shared" ca="1" si="118"/>
        <v>1625.3586624036793</v>
      </c>
      <c r="J223" s="17">
        <f t="shared" ca="1" si="118"/>
        <v>1628.6266562988726</v>
      </c>
      <c r="K223" s="17">
        <f t="shared" ca="1" si="118"/>
        <v>1631.01478864705</v>
      </c>
    </row>
    <row r="224" spans="2:11" x14ac:dyDescent="0.2">
      <c r="E224" s="32"/>
    </row>
    <row r="225" spans="1:12" x14ac:dyDescent="0.2">
      <c r="B225" s="130" t="s">
        <v>156</v>
      </c>
      <c r="E225" s="32"/>
    </row>
    <row r="226" spans="1:12" x14ac:dyDescent="0.2">
      <c r="B226" t="s">
        <v>157</v>
      </c>
      <c r="C226" s="131">
        <v>60</v>
      </c>
      <c r="D226" s="131">
        <v>56.76</v>
      </c>
      <c r="E226" s="132">
        <v>73.19</v>
      </c>
      <c r="F226" s="133">
        <f>E226</f>
        <v>73.19</v>
      </c>
      <c r="G226" s="134">
        <f>F226</f>
        <v>73.19</v>
      </c>
      <c r="H226" s="134">
        <f t="shared" ref="H226:K226" si="119">G226</f>
        <v>73.19</v>
      </c>
      <c r="I226" s="134">
        <f t="shared" si="119"/>
        <v>73.19</v>
      </c>
      <c r="J226" s="134">
        <f t="shared" si="119"/>
        <v>73.19</v>
      </c>
      <c r="K226" s="134">
        <f t="shared" si="119"/>
        <v>73.19</v>
      </c>
    </row>
    <row r="227" spans="1:12" x14ac:dyDescent="0.2">
      <c r="B227" t="s">
        <v>158</v>
      </c>
      <c r="C227" s="20"/>
      <c r="D227" s="20"/>
      <c r="E227" s="47"/>
      <c r="F227" s="135">
        <f ca="1">F226*F233</f>
        <v>300.27751041335904</v>
      </c>
      <c r="G227" s="135">
        <f t="shared" ref="G227:K227" ca="1" si="120">G226*G233</f>
        <v>567.03224432917273</v>
      </c>
      <c r="H227" s="135">
        <f t="shared" ca="1" si="120"/>
        <v>951.6487034215877</v>
      </c>
      <c r="I227" s="135">
        <f t="shared" ca="1" si="120"/>
        <v>1537.9788458392823</v>
      </c>
      <c r="J227" s="135">
        <f t="shared" ca="1" si="120"/>
        <v>2447.9849891295667</v>
      </c>
      <c r="K227" s="135">
        <f t="shared" ca="1" si="120"/>
        <v>3349.8980934225037</v>
      </c>
    </row>
    <row r="228" spans="1:12" x14ac:dyDescent="0.2">
      <c r="B228" t="s">
        <v>159</v>
      </c>
      <c r="C228" s="136">
        <v>0</v>
      </c>
      <c r="D228" s="136">
        <v>0</v>
      </c>
      <c r="E228" s="137">
        <v>0</v>
      </c>
      <c r="F228" s="108">
        <f ca="1">-F166/F227</f>
        <v>-26.642021871658919</v>
      </c>
      <c r="G228" s="108">
        <f t="shared" ref="G228:K228" ca="1" si="121">-G166/G227</f>
        <v>-14.108545113628233</v>
      </c>
      <c r="H228" s="108">
        <f t="shared" ca="1" si="121"/>
        <v>-8.4064634052844802</v>
      </c>
      <c r="I228" s="108">
        <f t="shared" ca="1" si="121"/>
        <v>-5.2016320131076723</v>
      </c>
      <c r="J228" s="108">
        <f t="shared" ca="1" si="121"/>
        <v>-3.2679938951931935</v>
      </c>
      <c r="K228" s="108">
        <f t="shared" ca="1" si="121"/>
        <v>-2.3881323481773764</v>
      </c>
    </row>
    <row r="229" spans="1:12" x14ac:dyDescent="0.2">
      <c r="E229" s="32"/>
    </row>
    <row r="230" spans="1:12" x14ac:dyDescent="0.2">
      <c r="B230" s="117" t="s">
        <v>160</v>
      </c>
      <c r="E230" s="32"/>
    </row>
    <row r="231" spans="1:12" x14ac:dyDescent="0.2">
      <c r="B231" s="75" t="s">
        <v>35</v>
      </c>
      <c r="C231" s="17">
        <f t="shared" ref="C231:K231" si="122">C39</f>
        <v>2490</v>
      </c>
      <c r="D231" s="17">
        <f t="shared" si="122"/>
        <v>3162</v>
      </c>
      <c r="E231" s="54">
        <f t="shared" si="122"/>
        <v>1320</v>
      </c>
      <c r="F231" s="17">
        <f t="shared" ca="1" si="122"/>
        <v>6554.6655124933332</v>
      </c>
      <c r="G231" s="17">
        <f t="shared" ca="1" si="122"/>
        <v>12486.877186726109</v>
      </c>
      <c r="H231" s="17">
        <f t="shared" ca="1" si="122"/>
        <v>21065.997230640216</v>
      </c>
      <c r="I231" s="17">
        <f t="shared" ca="1" si="122"/>
        <v>34154.491592819926</v>
      </c>
      <c r="J231" s="17">
        <f t="shared" ca="1" si="122"/>
        <v>54472.654836943824</v>
      </c>
      <c r="K231" s="17">
        <f t="shared" ca="1" si="122"/>
        <v>74651.363995527543</v>
      </c>
    </row>
    <row r="232" spans="1:12" x14ac:dyDescent="0.2">
      <c r="B232" s="75" t="s">
        <v>155</v>
      </c>
      <c r="C232" s="17">
        <f>C223</f>
        <v>1207</v>
      </c>
      <c r="D232" s="17">
        <f t="shared" ref="D232:K232" si="123">D223</f>
        <v>1229</v>
      </c>
      <c r="E232" s="128">
        <f t="shared" si="123"/>
        <v>1571</v>
      </c>
      <c r="F232" s="17">
        <f t="shared" ca="1" si="123"/>
        <v>1597.6420218716589</v>
      </c>
      <c r="G232" s="17">
        <f t="shared" ca="1" si="123"/>
        <v>1611.7505669852872</v>
      </c>
      <c r="H232" s="17">
        <f t="shared" ca="1" si="123"/>
        <v>1620.1570303905717</v>
      </c>
      <c r="I232" s="17">
        <f t="shared" ca="1" si="123"/>
        <v>1625.3586624036793</v>
      </c>
      <c r="J232" s="17">
        <f t="shared" ca="1" si="123"/>
        <v>1628.6266562988726</v>
      </c>
      <c r="K232" s="17">
        <f t="shared" ca="1" si="123"/>
        <v>1631.01478864705</v>
      </c>
    </row>
    <row r="233" spans="1:12" x14ac:dyDescent="0.2">
      <c r="B233" s="80" t="s">
        <v>160</v>
      </c>
      <c r="C233" s="138">
        <f>C231/C232</f>
        <v>2.0629660314830156</v>
      </c>
      <c r="D233" s="138">
        <f t="shared" ref="D233:K233" si="124">D231/D232</f>
        <v>2.5728234336859237</v>
      </c>
      <c r="E233" s="139">
        <f t="shared" si="124"/>
        <v>0.84022915340547422</v>
      </c>
      <c r="F233" s="138">
        <f t="shared" ca="1" si="124"/>
        <v>4.1027122614203995</v>
      </c>
      <c r="G233" s="138">
        <f t="shared" ca="1" si="124"/>
        <v>7.7474005236941208</v>
      </c>
      <c r="H233" s="138">
        <f t="shared" ca="1" si="124"/>
        <v>13.002441637130588</v>
      </c>
      <c r="I233" s="138">
        <f t="shared" ca="1" si="124"/>
        <v>21.013510668660778</v>
      </c>
      <c r="J233" s="138">
        <f t="shared" ca="1" si="124"/>
        <v>33.446987144822607</v>
      </c>
      <c r="K233" s="138">
        <f t="shared" ca="1" si="124"/>
        <v>45.769887872967672</v>
      </c>
    </row>
    <row r="234" spans="1:12" x14ac:dyDescent="0.2">
      <c r="B234" s="26" t="s">
        <v>161</v>
      </c>
      <c r="C234" s="140">
        <f>C231/C220</f>
        <v>2.1030405405405403</v>
      </c>
      <c r="D234" s="140">
        <f t="shared" ref="D234:E234" si="125">D231/D220</f>
        <v>2.6067600989282771</v>
      </c>
      <c r="E234" s="141">
        <f t="shared" si="125"/>
        <v>0.8456117873158232</v>
      </c>
      <c r="F234" s="140">
        <f ca="1">F231/F220</f>
        <v>4.1285538063335512</v>
      </c>
      <c r="G234" s="140">
        <f t="shared" ref="G234:K234" ca="1" si="126">G231/G220</f>
        <v>7.7957688569626127</v>
      </c>
      <c r="H234" s="140">
        <f t="shared" ca="1" si="126"/>
        <v>13.083194268033777</v>
      </c>
      <c r="I234" s="140">
        <f t="shared" ca="1" si="126"/>
        <v>21.143596396107785</v>
      </c>
      <c r="J234" s="140">
        <f t="shared" ca="1" si="126"/>
        <v>33.653625204406417</v>
      </c>
      <c r="K234" s="140">
        <f t="shared" ca="1" si="126"/>
        <v>46.052241175315821</v>
      </c>
    </row>
    <row r="236" spans="1:12" ht="20" x14ac:dyDescent="0.25">
      <c r="A236" s="176"/>
      <c r="B236" s="177" t="s">
        <v>162</v>
      </c>
      <c r="C236" s="177"/>
      <c r="D236" s="177"/>
      <c r="E236" s="177"/>
      <c r="F236" s="177"/>
      <c r="G236" s="177"/>
      <c r="H236" s="177"/>
      <c r="I236" s="177"/>
      <c r="J236" s="177"/>
      <c r="K236" s="177"/>
      <c r="L236" s="176"/>
    </row>
    <row r="237" spans="1:12" x14ac:dyDescent="0.2">
      <c r="A237" s="176"/>
      <c r="B237" s="176"/>
      <c r="C237" s="178">
        <f>EOMONTH(D237,-12)</f>
        <v>44196</v>
      </c>
      <c r="D237" s="178">
        <f>EOMONTH(E237,-12)</f>
        <v>44561</v>
      </c>
      <c r="E237" s="178">
        <f>$C$9</f>
        <v>44926</v>
      </c>
      <c r="F237" s="178">
        <f>EOMONTH(E237,12)</f>
        <v>45291</v>
      </c>
      <c r="G237" s="178">
        <f t="shared" ref="G237:K237" si="127">EOMONTH(F237,12)</f>
        <v>45657</v>
      </c>
      <c r="H237" s="178">
        <f t="shared" si="127"/>
        <v>46022</v>
      </c>
      <c r="I237" s="178">
        <f t="shared" si="127"/>
        <v>46387</v>
      </c>
      <c r="J237" s="178">
        <f t="shared" si="127"/>
        <v>46752</v>
      </c>
      <c r="K237" s="178">
        <f t="shared" si="127"/>
        <v>47118</v>
      </c>
      <c r="L237" s="176"/>
    </row>
    <row r="238" spans="1:12" x14ac:dyDescent="0.2">
      <c r="A238" s="176"/>
      <c r="B238" s="176" t="s">
        <v>163</v>
      </c>
      <c r="C238" s="179">
        <v>886</v>
      </c>
      <c r="D238" s="179">
        <v>3214</v>
      </c>
      <c r="E238" s="179">
        <v>4349</v>
      </c>
      <c r="F238" s="179">
        <f>E238*(1+F244)</f>
        <v>5884.6319000000003</v>
      </c>
      <c r="G238" s="179">
        <f t="shared" ref="G238:K238" si="128">F238*(1+G244)</f>
        <v>7962.49542389</v>
      </c>
      <c r="H238" s="179">
        <f t="shared" si="128"/>
        <v>10774.052558065559</v>
      </c>
      <c r="I238" s="179">
        <f t="shared" si="128"/>
        <v>14578.370516318508</v>
      </c>
      <c r="J238" s="179">
        <f t="shared" si="128"/>
        <v>19725.993145630571</v>
      </c>
      <c r="K238" s="179">
        <f t="shared" si="128"/>
        <v>26691.241325352727</v>
      </c>
      <c r="L238" s="176"/>
    </row>
    <row r="239" spans="1:12" x14ac:dyDescent="0.2">
      <c r="A239" s="176"/>
      <c r="B239" s="176" t="s">
        <v>164</v>
      </c>
      <c r="C239" s="179">
        <v>3025</v>
      </c>
      <c r="D239" s="179">
        <v>4531</v>
      </c>
      <c r="E239" s="179">
        <v>8544</v>
      </c>
      <c r="F239" s="179">
        <f t="shared" ref="F239:K240" si="129">E239*(1+F245)</f>
        <v>16111.4208</v>
      </c>
      <c r="G239" s="179">
        <f t="shared" si="129"/>
        <v>30381.306202559997</v>
      </c>
      <c r="H239" s="179">
        <f t="shared" si="129"/>
        <v>57290.029106167385</v>
      </c>
      <c r="I239" s="179">
        <f t="shared" si="129"/>
        <v>108031.80788549983</v>
      </c>
      <c r="J239" s="179">
        <f t="shared" si="129"/>
        <v>203715.58012968703</v>
      </c>
      <c r="K239" s="179">
        <f t="shared" si="129"/>
        <v>384146.46945055085</v>
      </c>
      <c r="L239" s="176"/>
    </row>
    <row r="240" spans="1:12" x14ac:dyDescent="0.2">
      <c r="A240" s="176"/>
      <c r="B240" s="176" t="s">
        <v>166</v>
      </c>
      <c r="C240" s="179">
        <v>7007</v>
      </c>
      <c r="D240" s="179">
        <v>8930</v>
      </c>
      <c r="E240" s="179">
        <v>14021</v>
      </c>
      <c r="F240" s="179">
        <f t="shared" si="129"/>
        <v>14021</v>
      </c>
      <c r="G240" s="179">
        <f t="shared" si="129"/>
        <v>14021</v>
      </c>
      <c r="H240" s="179">
        <f t="shared" si="129"/>
        <v>14021</v>
      </c>
      <c r="I240" s="179">
        <f t="shared" si="129"/>
        <v>14021</v>
      </c>
      <c r="J240" s="179">
        <f t="shared" si="129"/>
        <v>14021</v>
      </c>
      <c r="K240" s="179">
        <f t="shared" si="129"/>
        <v>14021</v>
      </c>
      <c r="L240" s="176"/>
    </row>
    <row r="241" spans="1:12" x14ac:dyDescent="0.2">
      <c r="A241" s="176"/>
      <c r="B241" s="180" t="s">
        <v>167</v>
      </c>
      <c r="C241" s="181">
        <f>SUM(C238:C240)</f>
        <v>10918</v>
      </c>
      <c r="D241" s="181">
        <f t="shared" ref="D241:K241" si="130">SUM(D238:D240)</f>
        <v>16675</v>
      </c>
      <c r="E241" s="181">
        <f t="shared" si="130"/>
        <v>26914</v>
      </c>
      <c r="F241" s="181">
        <f>SUM(F238:F240)</f>
        <v>36017.0527</v>
      </c>
      <c r="G241" s="181">
        <f t="shared" si="130"/>
        <v>52364.801626449997</v>
      </c>
      <c r="H241" s="181">
        <f t="shared" si="130"/>
        <v>82085.081664232945</v>
      </c>
      <c r="I241" s="181">
        <f t="shared" si="130"/>
        <v>136631.17840181832</v>
      </c>
      <c r="J241" s="181">
        <f t="shared" si="130"/>
        <v>237462.57327531761</v>
      </c>
      <c r="K241" s="181">
        <f t="shared" si="130"/>
        <v>424858.7107759036</v>
      </c>
      <c r="L241" s="176"/>
    </row>
    <row r="242" spans="1:12" x14ac:dyDescent="0.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</row>
    <row r="243" spans="1:12" x14ac:dyDescent="0.2">
      <c r="A243" s="176"/>
      <c r="B243" s="182" t="s">
        <v>168</v>
      </c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</row>
    <row r="244" spans="1:12" x14ac:dyDescent="0.2">
      <c r="A244" s="176"/>
      <c r="B244" s="176" t="s">
        <v>163</v>
      </c>
      <c r="C244" s="176"/>
      <c r="D244" s="183">
        <f>D238/C238-1</f>
        <v>2.6275395033860045</v>
      </c>
      <c r="E244" s="183">
        <f t="shared" ref="E244:E245" si="131">E238/D238-1</f>
        <v>0.35314250155569393</v>
      </c>
      <c r="F244" s="183">
        <v>0.35310000000000002</v>
      </c>
      <c r="G244" s="183">
        <f>F244</f>
        <v>0.35310000000000002</v>
      </c>
      <c r="H244" s="183">
        <f t="shared" ref="H244:K245" si="132">G244</f>
        <v>0.35310000000000002</v>
      </c>
      <c r="I244" s="183">
        <f t="shared" si="132"/>
        <v>0.35310000000000002</v>
      </c>
      <c r="J244" s="183">
        <f t="shared" si="132"/>
        <v>0.35310000000000002</v>
      </c>
      <c r="K244" s="183">
        <f t="shared" si="132"/>
        <v>0.35310000000000002</v>
      </c>
      <c r="L244" s="176"/>
    </row>
    <row r="245" spans="1:12" x14ac:dyDescent="0.2">
      <c r="A245" s="176"/>
      <c r="B245" s="176" t="s">
        <v>164</v>
      </c>
      <c r="C245" s="176"/>
      <c r="D245" s="183">
        <f t="shared" ref="D245" si="133">D239/C239-1</f>
        <v>0.49785123966942146</v>
      </c>
      <c r="E245" s="183">
        <f t="shared" si="131"/>
        <v>0.88567645111454429</v>
      </c>
      <c r="F245" s="183">
        <v>0.88570000000000004</v>
      </c>
      <c r="G245" s="183">
        <f>F245</f>
        <v>0.88570000000000004</v>
      </c>
      <c r="H245" s="183">
        <f t="shared" si="132"/>
        <v>0.88570000000000004</v>
      </c>
      <c r="I245" s="183">
        <f t="shared" si="132"/>
        <v>0.88570000000000004</v>
      </c>
      <c r="J245" s="183">
        <f t="shared" si="132"/>
        <v>0.88570000000000004</v>
      </c>
      <c r="K245" s="183">
        <f t="shared" si="132"/>
        <v>0.88570000000000004</v>
      </c>
      <c r="L245" s="176"/>
    </row>
    <row r="246" spans="1:12" x14ac:dyDescent="0.2">
      <c r="A246" s="176"/>
      <c r="B246" s="176"/>
      <c r="C246" s="176"/>
      <c r="D246" s="183"/>
      <c r="E246" s="183"/>
      <c r="F246" s="183"/>
      <c r="G246" s="183"/>
      <c r="H246" s="183"/>
      <c r="I246" s="183"/>
      <c r="J246" s="183"/>
      <c r="K246" s="183"/>
      <c r="L246" s="176"/>
    </row>
    <row r="247" spans="1:12" x14ac:dyDescent="0.2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</row>
    <row r="248" spans="1:12" ht="20" x14ac:dyDescent="0.25">
      <c r="A248" s="176"/>
      <c r="B248" s="177"/>
      <c r="C248" s="177"/>
      <c r="D248" s="177"/>
      <c r="E248" s="177"/>
      <c r="F248" s="177"/>
      <c r="G248" s="177"/>
      <c r="H248" s="177"/>
      <c r="I248" s="177"/>
      <c r="J248" s="177"/>
      <c r="K248" s="177"/>
    </row>
    <row r="249" spans="1:12" x14ac:dyDescent="0.2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</row>
    <row r="250" spans="1:12" x14ac:dyDescent="0.2">
      <c r="A250" s="176"/>
      <c r="B250" s="176"/>
      <c r="C250" s="184"/>
      <c r="D250" s="185"/>
      <c r="E250" s="185"/>
      <c r="F250" s="185"/>
      <c r="G250" s="185"/>
      <c r="H250" s="185"/>
      <c r="I250" s="185"/>
      <c r="J250" s="185"/>
      <c r="K250" s="176"/>
    </row>
    <row r="251" spans="1:12" x14ac:dyDescent="0.2">
      <c r="A251" s="176"/>
      <c r="B251" s="176"/>
      <c r="C251" s="185"/>
      <c r="D251" s="185"/>
      <c r="E251" s="185"/>
      <c r="F251" s="185"/>
      <c r="G251" s="185"/>
      <c r="H251" s="185"/>
      <c r="I251" s="185"/>
      <c r="J251" s="185"/>
      <c r="K251" s="176"/>
    </row>
    <row r="252" spans="1:12" x14ac:dyDescent="0.2">
      <c r="A252" s="176"/>
      <c r="B252" s="176"/>
      <c r="C252" s="186"/>
      <c r="D252" s="187"/>
      <c r="E252" s="187"/>
      <c r="F252" s="187"/>
      <c r="G252" s="187"/>
      <c r="H252" s="187"/>
      <c r="I252" s="187"/>
      <c r="J252" s="187"/>
      <c r="K252" s="176"/>
    </row>
    <row r="253" spans="1:12" x14ac:dyDescent="0.2">
      <c r="A253" s="176"/>
      <c r="B253" s="639"/>
      <c r="C253" s="187"/>
      <c r="D253" s="188"/>
      <c r="E253" s="188"/>
      <c r="F253" s="188"/>
      <c r="G253" s="188"/>
      <c r="H253" s="188"/>
      <c r="I253" s="188"/>
      <c r="J253" s="188"/>
      <c r="K253" s="176"/>
    </row>
    <row r="254" spans="1:12" x14ac:dyDescent="0.2">
      <c r="A254" s="176"/>
      <c r="B254" s="640"/>
      <c r="C254" s="187"/>
      <c r="D254" s="189"/>
      <c r="E254" s="189"/>
      <c r="F254" s="189"/>
      <c r="G254" s="189"/>
      <c r="H254" s="189"/>
      <c r="I254" s="189"/>
      <c r="J254" s="189"/>
      <c r="K254" s="176"/>
    </row>
    <row r="255" spans="1:12" x14ac:dyDescent="0.2">
      <c r="A255" s="176"/>
      <c r="B255" s="640"/>
      <c r="C255" s="187"/>
      <c r="D255" s="189"/>
      <c r="E255" s="189"/>
      <c r="F255" s="189"/>
      <c r="G255" s="189"/>
      <c r="H255" s="189"/>
      <c r="I255" s="189"/>
      <c r="J255" s="189"/>
      <c r="K255" s="176"/>
    </row>
    <row r="256" spans="1:12" x14ac:dyDescent="0.2">
      <c r="A256" s="176"/>
      <c r="B256" s="640"/>
      <c r="C256" s="187"/>
      <c r="D256" s="189"/>
      <c r="E256" s="189"/>
      <c r="F256" s="189"/>
      <c r="G256" s="189"/>
      <c r="H256" s="189"/>
      <c r="I256" s="189"/>
      <c r="J256" s="189"/>
      <c r="K256" s="176"/>
    </row>
    <row r="257" spans="1:13" x14ac:dyDescent="0.2">
      <c r="A257" s="176"/>
      <c r="B257" s="640"/>
      <c r="C257" s="187"/>
      <c r="D257" s="189"/>
      <c r="E257" s="189"/>
      <c r="F257" s="189"/>
      <c r="G257" s="189"/>
      <c r="H257" s="189"/>
      <c r="I257" s="189"/>
      <c r="J257" s="189"/>
      <c r="K257" s="176"/>
    </row>
    <row r="258" spans="1:13" x14ac:dyDescent="0.2">
      <c r="A258" s="176"/>
      <c r="B258" s="640"/>
      <c r="C258" s="187"/>
      <c r="D258" s="189"/>
      <c r="E258" s="189"/>
      <c r="F258" s="189"/>
      <c r="G258" s="189"/>
      <c r="H258" s="189"/>
      <c r="I258" s="189"/>
      <c r="J258" s="189"/>
      <c r="K258" s="176"/>
    </row>
    <row r="259" spans="1:13" x14ac:dyDescent="0.2">
      <c r="A259" s="176"/>
      <c r="B259" s="640"/>
      <c r="C259" s="187"/>
      <c r="D259" s="189"/>
      <c r="E259" s="189"/>
      <c r="F259" s="189"/>
      <c r="G259" s="189"/>
      <c r="H259" s="189"/>
      <c r="I259" s="189"/>
      <c r="J259" s="189"/>
      <c r="K259" s="176"/>
    </row>
    <row r="261" spans="1:13" ht="20" x14ac:dyDescent="0.25">
      <c r="B261" s="9" t="s">
        <v>172</v>
      </c>
      <c r="C261" s="9"/>
      <c r="D261" s="9"/>
      <c r="E261" s="9"/>
      <c r="F261" s="9"/>
      <c r="G261" s="9"/>
      <c r="H261" s="9"/>
      <c r="I261" s="9"/>
      <c r="J261" s="9"/>
      <c r="K261" s="9"/>
    </row>
    <row r="262" spans="1:13" x14ac:dyDescent="0.2">
      <c r="C262" s="12">
        <f>EOMONTH(D262,-12)</f>
        <v>44196</v>
      </c>
      <c r="D262" s="12">
        <f>EOMONTH(E262,-12)</f>
        <v>44561</v>
      </c>
      <c r="E262" s="13">
        <f>$C$9</f>
        <v>44926</v>
      </c>
      <c r="F262" s="12">
        <f>EOMONTH(E262,12)</f>
        <v>45291</v>
      </c>
      <c r="G262" s="12">
        <f t="shared" ref="G262:K262" si="134">EOMONTH(F262,12)</f>
        <v>45657</v>
      </c>
      <c r="H262" s="12">
        <f t="shared" si="134"/>
        <v>46022</v>
      </c>
      <c r="I262" s="12">
        <f t="shared" si="134"/>
        <v>46387</v>
      </c>
      <c r="J262" s="12">
        <f t="shared" si="134"/>
        <v>46752</v>
      </c>
      <c r="K262" s="12">
        <f t="shared" si="134"/>
        <v>47118</v>
      </c>
      <c r="M262" s="5" t="s">
        <v>173</v>
      </c>
    </row>
    <row r="263" spans="1:13" x14ac:dyDescent="0.2">
      <c r="B263" s="75"/>
      <c r="C263" s="20"/>
      <c r="D263" s="20"/>
      <c r="E263" s="126"/>
      <c r="M263" s="5" t="s">
        <v>174</v>
      </c>
    </row>
    <row r="264" spans="1:13" x14ac:dyDescent="0.2">
      <c r="B264" s="75" t="s">
        <v>175</v>
      </c>
      <c r="C264" s="20"/>
      <c r="D264" s="20"/>
      <c r="E264" s="47"/>
      <c r="F264" s="17">
        <f t="array" ref="F264:K264">TRANSPOSE(F122/M264)</f>
        <v>189.125</v>
      </c>
      <c r="G264" s="17">
        <v>189.125</v>
      </c>
      <c r="H264" s="17">
        <v>189.125</v>
      </c>
      <c r="I264" s="17">
        <v>189.125</v>
      </c>
      <c r="J264" s="17">
        <v>189.125</v>
      </c>
      <c r="K264" s="17">
        <v>189.125</v>
      </c>
      <c r="M264" s="160">
        <v>8</v>
      </c>
    </row>
    <row r="265" spans="1:13" x14ac:dyDescent="0.2">
      <c r="B265" s="75"/>
      <c r="C265" s="20"/>
      <c r="D265" s="20"/>
      <c r="E265" s="47"/>
    </row>
    <row r="266" spans="1:13" x14ac:dyDescent="0.2">
      <c r="B266" s="117" t="s">
        <v>176</v>
      </c>
      <c r="C266" s="20"/>
      <c r="D266" s="20"/>
      <c r="E266" s="47"/>
    </row>
    <row r="267" spans="1:13" x14ac:dyDescent="0.2">
      <c r="B267" s="161">
        <v>2023</v>
      </c>
      <c r="C267" s="20"/>
      <c r="D267" s="20"/>
      <c r="E267" s="47"/>
      <c r="F267" s="17">
        <f t="array" ref="F267:K267">TRANSPOSE(F124/M264)</f>
        <v>260.8944536946417</v>
      </c>
      <c r="G267" s="17">
        <v>260.8944536946417</v>
      </c>
      <c r="H267" s="17">
        <v>260.8944536946417</v>
      </c>
      <c r="I267" s="17">
        <v>260.8944536946417</v>
      </c>
      <c r="J267" s="17">
        <v>260.8944536946417</v>
      </c>
      <c r="K267" s="17">
        <v>260.8944536946417</v>
      </c>
    </row>
    <row r="268" spans="1:13" x14ac:dyDescent="0.2">
      <c r="B268" s="161">
        <f>B267+1</f>
        <v>2024</v>
      </c>
      <c r="C268" s="20"/>
      <c r="D268" s="20"/>
      <c r="E268" s="47"/>
      <c r="F268" s="17"/>
      <c r="G268" s="17">
        <f t="array" ref="G268:K268">TRANSPOSE(G124/M264)</f>
        <v>406.91735833466851</v>
      </c>
      <c r="H268" s="17">
        <v>406.91735833466851</v>
      </c>
      <c r="I268" s="17">
        <v>406.91735833466851</v>
      </c>
      <c r="J268" s="17">
        <v>406.91735833466851</v>
      </c>
      <c r="K268" s="17">
        <v>406.91735833466851</v>
      </c>
    </row>
    <row r="269" spans="1:13" x14ac:dyDescent="0.2">
      <c r="B269" s="161">
        <f t="shared" ref="B269:B271" si="135">B268+1</f>
        <v>2025</v>
      </c>
      <c r="C269" s="20"/>
      <c r="D269" s="20"/>
      <c r="E269" s="47"/>
      <c r="F269" s="17"/>
      <c r="G269" s="17"/>
      <c r="H269" s="17">
        <f t="array" ref="H269:K269">TRANSPOSE(H124/M264)</f>
        <v>634.66943880634039</v>
      </c>
      <c r="I269" s="17">
        <v>634.66943880634039</v>
      </c>
      <c r="J269" s="17">
        <v>634.66943880634039</v>
      </c>
      <c r="K269" s="17">
        <v>634.66943880634039</v>
      </c>
    </row>
    <row r="270" spans="1:13" x14ac:dyDescent="0.2">
      <c r="B270" s="161">
        <f t="shared" si="135"/>
        <v>2026</v>
      </c>
      <c r="C270" s="20"/>
      <c r="D270" s="20"/>
      <c r="E270" s="47"/>
      <c r="F270" s="17"/>
      <c r="G270" s="17"/>
      <c r="H270" s="17"/>
      <c r="I270" s="17">
        <f t="array" ref="I270:K270">TRANSPOSE(I124/M264)</f>
        <v>989.89460219455316</v>
      </c>
      <c r="J270" s="17">
        <v>989.89460219455316</v>
      </c>
      <c r="K270" s="17">
        <v>989.89460219455316</v>
      </c>
    </row>
    <row r="271" spans="1:13" x14ac:dyDescent="0.2">
      <c r="B271" s="161">
        <f t="shared" si="135"/>
        <v>2027</v>
      </c>
      <c r="C271" s="20"/>
      <c r="D271" s="20"/>
      <c r="E271" s="47"/>
      <c r="F271" s="17"/>
      <c r="G271" s="17"/>
      <c r="H271" s="17"/>
      <c r="I271" s="17"/>
      <c r="J271" s="17">
        <f t="array" ref="J271:K271">TRANSPOSE(J124/M264)</f>
        <v>1543.9396692817777</v>
      </c>
      <c r="K271" s="17">
        <v>1543.9396692817777</v>
      </c>
    </row>
    <row r="272" spans="1:13" x14ac:dyDescent="0.2">
      <c r="B272" s="161">
        <v>2028</v>
      </c>
      <c r="C272" s="20"/>
      <c r="D272" s="20"/>
      <c r="E272" s="47"/>
      <c r="F272" s="17"/>
      <c r="G272" s="17"/>
      <c r="H272" s="17"/>
      <c r="I272" s="17"/>
      <c r="J272" s="17"/>
      <c r="K272" s="17">
        <f>K124/M264</f>
        <v>2408.0843527151837</v>
      </c>
    </row>
    <row r="273" spans="2:11" x14ac:dyDescent="0.2">
      <c r="B273" s="75" t="s">
        <v>177</v>
      </c>
      <c r="C273" s="81"/>
      <c r="D273" s="81"/>
      <c r="E273" s="126"/>
      <c r="F273" s="108">
        <f>SUM(F267:F272)</f>
        <v>260.8944536946417</v>
      </c>
      <c r="G273" s="108">
        <f t="shared" ref="G273:K273" si="136">SUM(G267:G272)</f>
        <v>667.8118120293102</v>
      </c>
      <c r="H273" s="108">
        <f t="shared" si="136"/>
        <v>1302.4812508356506</v>
      </c>
      <c r="I273" s="108">
        <f t="shared" si="136"/>
        <v>2292.3758530302039</v>
      </c>
      <c r="J273" s="108">
        <f t="shared" si="136"/>
        <v>3836.3155223119816</v>
      </c>
      <c r="K273" s="108">
        <f t="shared" si="136"/>
        <v>6244.3998750271658</v>
      </c>
    </row>
    <row r="274" spans="2:11" x14ac:dyDescent="0.2">
      <c r="B274" s="75"/>
      <c r="C274" s="20"/>
      <c r="D274" s="20"/>
      <c r="E274" s="47"/>
      <c r="F274" s="17"/>
      <c r="G274" s="17"/>
      <c r="H274" s="17"/>
      <c r="I274" s="17"/>
      <c r="J274" s="17"/>
      <c r="K274" s="17"/>
    </row>
    <row r="275" spans="2:11" x14ac:dyDescent="0.2">
      <c r="B275" s="75" t="s">
        <v>178</v>
      </c>
      <c r="C275" s="20"/>
      <c r="D275" s="20"/>
      <c r="E275" s="47"/>
      <c r="F275" s="17">
        <f>SUM(F273,F264)</f>
        <v>450.0194536946417</v>
      </c>
      <c r="G275" s="17">
        <f t="shared" ref="G275:J275" si="137">SUM(G273,G264)</f>
        <v>856.9368120293102</v>
      </c>
      <c r="H275" s="17">
        <f t="shared" si="137"/>
        <v>1491.6062508356506</v>
      </c>
      <c r="I275" s="17">
        <f t="shared" si="137"/>
        <v>2481.5008530302039</v>
      </c>
      <c r="J275" s="17">
        <f t="shared" si="137"/>
        <v>4025.4405223119816</v>
      </c>
      <c r="K275" s="17">
        <f>SUM(K273,K264)</f>
        <v>6433.5248750271658</v>
      </c>
    </row>
  </sheetData>
  <mergeCells count="1">
    <mergeCell ref="B253:B259"/>
  </mergeCells>
  <conditionalFormatting sqref="D253:J259">
    <cfRule type="colorScale" priority="1">
      <colorScale>
        <cfvo type="min"/>
        <cfvo type="max"/>
        <color rgb="FFFF7128"/>
        <color rgb="FFFFEF9C"/>
      </colorScale>
    </cfRule>
  </conditionalFormatting>
  <dataValidations disablePrompts="1" count="2">
    <dataValidation type="list" allowBlank="1" showInputMessage="1" showErrorMessage="1" sqref="F45" xr:uid="{9E899A5B-40CF-4204-A0B0-98A09481AF02}">
      <formula1>$F$46:$F$48</formula1>
    </dataValidation>
    <dataValidation type="list" allowBlank="1" showInputMessage="1" showErrorMessage="1" sqref="C10" xr:uid="{3FB7839A-226A-48A8-A505-BD1650385A7B}">
      <formula1>$B$46:$B$48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3" name="Button 16">
              <controlPr defaultSize="0" print="0" autoFill="0" autoPict="0" macro="[0]!circularity_break">
                <anchor moveWithCells="1" sizeWithCells="1">
                  <from>
                    <xdr:col>1</xdr:col>
                    <xdr:colOff>3340100</xdr:colOff>
                    <xdr:row>9</xdr:row>
                    <xdr:rowOff>177800</xdr:rowOff>
                  </from>
                  <to>
                    <xdr:col>3</xdr:col>
                    <xdr:colOff>12700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7671-68D6-4951-829E-0021A5872F7D}">
  <sheetPr codeName="Sheet3"/>
  <dimension ref="A1:U162"/>
  <sheetViews>
    <sheetView showGridLines="0" tabSelected="1" zoomScaleNormal="100" workbookViewId="0"/>
  </sheetViews>
  <sheetFormatPr baseColWidth="10" defaultColWidth="8.83203125" defaultRowHeight="15" x14ac:dyDescent="0.2"/>
  <cols>
    <col min="2" max="2" width="59" bestFit="1" customWidth="1"/>
    <col min="3" max="3" width="25.83203125" bestFit="1" customWidth="1"/>
    <col min="4" max="4" width="10.6640625" bestFit="1" customWidth="1"/>
    <col min="6" max="6" width="36.33203125" bestFit="1" customWidth="1"/>
    <col min="7" max="7" width="10.33203125" bestFit="1" customWidth="1"/>
    <col min="11" max="11" width="9.33203125" bestFit="1" customWidth="1"/>
    <col min="12" max="12" width="11.6640625" bestFit="1" customWidth="1"/>
    <col min="14" max="14" width="19.5" bestFit="1" customWidth="1"/>
    <col min="15" max="15" width="22.1640625" bestFit="1" customWidth="1"/>
  </cols>
  <sheetData>
    <row r="1" spans="1:21" x14ac:dyDescent="0.2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</row>
    <row r="2" spans="1:21" ht="19" x14ac:dyDescent="0.2">
      <c r="A2" s="228" t="s">
        <v>183</v>
      </c>
      <c r="B2" s="193" t="str">
        <f>"M&amp;A Model for "&amp;C6&amp;" Acquiring "&amp;C18</f>
        <v>M&amp;A Model for NVIDIA Corp. Acquiring AMD</v>
      </c>
      <c r="C2" s="193"/>
      <c r="D2" s="193"/>
      <c r="E2" s="194"/>
      <c r="F2" s="195"/>
      <c r="G2" s="195"/>
      <c r="H2" s="195"/>
      <c r="I2" s="195"/>
      <c r="J2" s="195"/>
      <c r="K2" s="195"/>
      <c r="L2" s="195"/>
      <c r="M2" s="192"/>
      <c r="N2" s="196" t="s">
        <v>184</v>
      </c>
      <c r="O2" s="196" t="s">
        <v>185</v>
      </c>
      <c r="P2" s="192"/>
    </row>
    <row r="3" spans="1:21" x14ac:dyDescent="0.2">
      <c r="A3" s="192"/>
      <c r="B3" s="198" t="s">
        <v>0</v>
      </c>
      <c r="C3" s="198"/>
      <c r="D3" s="198"/>
      <c r="E3" s="198"/>
      <c r="F3" s="192"/>
      <c r="G3" s="192"/>
      <c r="H3" s="192"/>
      <c r="I3" s="192"/>
      <c r="J3" s="192"/>
      <c r="K3" s="192"/>
      <c r="L3" s="192"/>
      <c r="M3" s="192"/>
      <c r="N3" s="192" t="s">
        <v>186</v>
      </c>
      <c r="O3" s="192" t="s">
        <v>187</v>
      </c>
      <c r="P3" s="192"/>
    </row>
    <row r="4" spans="1:21" x14ac:dyDescent="0.2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 t="s">
        <v>188</v>
      </c>
      <c r="O4" s="192" t="s">
        <v>189</v>
      </c>
      <c r="P4" s="192"/>
    </row>
    <row r="5" spans="1:21" x14ac:dyDescent="0.2">
      <c r="A5" s="199" t="s">
        <v>190</v>
      </c>
      <c r="B5" s="200" t="s">
        <v>191</v>
      </c>
      <c r="C5" s="200"/>
      <c r="D5" s="192"/>
      <c r="E5" s="192"/>
      <c r="F5" s="200" t="s">
        <v>192</v>
      </c>
      <c r="G5" s="200"/>
      <c r="H5" s="200"/>
      <c r="I5" s="200"/>
      <c r="J5" s="200"/>
      <c r="K5" s="192"/>
      <c r="L5" s="192"/>
      <c r="M5" s="192"/>
      <c r="N5" s="192"/>
      <c r="O5" s="192"/>
      <c r="P5" s="192"/>
    </row>
    <row r="6" spans="1:21" x14ac:dyDescent="0.2">
      <c r="A6" s="192"/>
      <c r="B6" s="192" t="s">
        <v>193</v>
      </c>
      <c r="C6" s="201" t="s">
        <v>194</v>
      </c>
      <c r="D6" s="192"/>
      <c r="E6" s="192"/>
      <c r="F6" s="198" t="s">
        <v>195</v>
      </c>
      <c r="G6" s="192"/>
      <c r="H6" s="202" t="s">
        <v>196</v>
      </c>
      <c r="I6" s="202" t="s">
        <v>197</v>
      </c>
      <c r="J6" s="202" t="s">
        <v>198</v>
      </c>
      <c r="K6" s="192"/>
      <c r="L6" s="192"/>
      <c r="M6" s="192"/>
      <c r="N6" s="192"/>
      <c r="O6" s="192"/>
      <c r="P6" s="192"/>
      <c r="U6" s="192"/>
    </row>
    <row r="7" spans="1:21" x14ac:dyDescent="0.2">
      <c r="A7" s="192"/>
      <c r="B7" s="192" t="s">
        <v>3</v>
      </c>
      <c r="C7" s="201" t="s">
        <v>4</v>
      </c>
      <c r="D7" s="192"/>
      <c r="E7" s="192"/>
      <c r="F7" s="192"/>
      <c r="G7" s="192"/>
      <c r="H7" s="192"/>
      <c r="I7" s="202" t="s">
        <v>199</v>
      </c>
      <c r="J7" s="202" t="s">
        <v>196</v>
      </c>
      <c r="K7" s="192"/>
      <c r="L7" s="192"/>
      <c r="M7" s="192"/>
      <c r="N7" s="192"/>
      <c r="O7" s="192"/>
      <c r="P7" s="192"/>
    </row>
    <row r="8" spans="1:21" x14ac:dyDescent="0.2">
      <c r="A8" s="192"/>
      <c r="B8" s="192" t="s">
        <v>5</v>
      </c>
      <c r="C8" s="203">
        <v>485.09</v>
      </c>
      <c r="D8" s="192"/>
      <c r="E8" s="192"/>
      <c r="F8" s="192" t="s">
        <v>200</v>
      </c>
      <c r="G8" s="192"/>
      <c r="H8" s="204"/>
      <c r="I8" s="205"/>
      <c r="J8" s="211">
        <f>IF(I8&lt;C8,H8-(H8*I8)/C8,0)*circ</f>
        <v>0</v>
      </c>
      <c r="K8" s="192"/>
      <c r="L8" s="192"/>
      <c r="M8" s="192"/>
      <c r="N8" s="192"/>
      <c r="O8" s="192"/>
      <c r="P8" s="192"/>
    </row>
    <row r="9" spans="1:21" x14ac:dyDescent="0.2">
      <c r="A9" s="192"/>
      <c r="B9" s="192" t="s">
        <v>6</v>
      </c>
      <c r="C9" s="207">
        <v>45173</v>
      </c>
      <c r="D9" s="192"/>
      <c r="E9" s="192"/>
      <c r="F9" s="192" t="s">
        <v>201</v>
      </c>
      <c r="G9" s="192"/>
      <c r="H9" s="192"/>
      <c r="I9" s="192"/>
      <c r="J9" s="204">
        <v>20</v>
      </c>
      <c r="K9" s="192"/>
      <c r="L9" s="192"/>
      <c r="M9" s="192"/>
      <c r="O9" s="192"/>
      <c r="P9" s="192"/>
    </row>
    <row r="10" spans="1:21" x14ac:dyDescent="0.2">
      <c r="A10" s="192"/>
      <c r="B10" s="192" t="s">
        <v>7</v>
      </c>
      <c r="C10" s="207">
        <v>44955</v>
      </c>
      <c r="D10" s="192"/>
      <c r="E10" s="192"/>
      <c r="F10" s="192" t="s">
        <v>202</v>
      </c>
      <c r="G10" s="192"/>
      <c r="H10" s="192"/>
      <c r="I10" s="192"/>
      <c r="J10" s="208">
        <f>NVDA!E215</f>
        <v>2487</v>
      </c>
      <c r="K10" s="192"/>
      <c r="L10" s="192"/>
      <c r="M10" s="192"/>
      <c r="N10" s="192"/>
      <c r="O10" s="192"/>
      <c r="P10" s="192"/>
    </row>
    <row r="11" spans="1:21" x14ac:dyDescent="0.2">
      <c r="A11" s="192"/>
      <c r="B11" s="192" t="s">
        <v>11</v>
      </c>
      <c r="C11" s="577">
        <v>1</v>
      </c>
      <c r="E11" s="192"/>
      <c r="F11" s="192" t="s">
        <v>203</v>
      </c>
      <c r="G11" s="192"/>
      <c r="H11" s="192"/>
      <c r="I11" s="192"/>
      <c r="J11" s="210">
        <f>SUM(J8:J10)</f>
        <v>2507</v>
      </c>
      <c r="K11" s="192"/>
      <c r="L11" s="192"/>
      <c r="M11" s="192"/>
      <c r="N11" s="192"/>
      <c r="O11" s="192"/>
      <c r="P11" s="192"/>
    </row>
    <row r="12" spans="1:21" x14ac:dyDescent="0.2">
      <c r="A12" s="192"/>
      <c r="B12" s="192"/>
      <c r="C12" s="577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</row>
    <row r="13" spans="1:21" x14ac:dyDescent="0.2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</row>
    <row r="14" spans="1:21" x14ac:dyDescent="0.2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</row>
    <row r="15" spans="1:21" x14ac:dyDescent="0.2">
      <c r="A15" s="192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</row>
    <row r="16" spans="1:21" x14ac:dyDescent="0.2">
      <c r="A16" s="192"/>
      <c r="B16" s="200" t="s">
        <v>204</v>
      </c>
      <c r="C16" s="200"/>
      <c r="D16" s="192"/>
      <c r="E16" s="192"/>
      <c r="F16" s="200" t="s">
        <v>205</v>
      </c>
      <c r="G16" s="200"/>
      <c r="H16" s="200"/>
      <c r="I16" s="200"/>
      <c r="J16" s="200"/>
      <c r="K16" s="192"/>
      <c r="L16" s="192"/>
      <c r="M16" s="192"/>
      <c r="N16" s="192"/>
      <c r="O16" s="192"/>
      <c r="P16" s="192"/>
    </row>
    <row r="17" spans="1:16" x14ac:dyDescent="0.2">
      <c r="A17" s="192"/>
      <c r="B17" s="192" t="s">
        <v>193</v>
      </c>
      <c r="C17" s="201" t="s">
        <v>206</v>
      </c>
      <c r="D17" s="192"/>
      <c r="E17" s="192"/>
      <c r="F17" s="198" t="s">
        <v>195</v>
      </c>
      <c r="G17" s="192"/>
      <c r="H17" s="202" t="s">
        <v>196</v>
      </c>
      <c r="I17" s="202" t="s">
        <v>197</v>
      </c>
      <c r="J17" s="202" t="s">
        <v>198</v>
      </c>
      <c r="K17" s="192"/>
      <c r="L17" s="192"/>
      <c r="M17" s="192"/>
      <c r="N17" s="192"/>
      <c r="O17" s="192"/>
      <c r="P17" s="192"/>
    </row>
    <row r="18" spans="1:16" x14ac:dyDescent="0.2">
      <c r="A18" s="192"/>
      <c r="B18" s="192" t="s">
        <v>3</v>
      </c>
      <c r="C18" s="201" t="s">
        <v>179</v>
      </c>
      <c r="D18" s="192"/>
      <c r="E18" s="192"/>
      <c r="F18" s="192"/>
      <c r="G18" s="192"/>
      <c r="H18" s="192"/>
      <c r="I18" s="202" t="s">
        <v>199</v>
      </c>
      <c r="J18" s="202" t="s">
        <v>196</v>
      </c>
      <c r="K18" s="192"/>
      <c r="L18" s="192"/>
      <c r="M18" s="192"/>
      <c r="N18" s="192"/>
      <c r="O18" s="192"/>
      <c r="P18" s="192"/>
    </row>
    <row r="19" spans="1:16" x14ac:dyDescent="0.2">
      <c r="A19" s="192"/>
      <c r="B19" s="192" t="s">
        <v>5</v>
      </c>
      <c r="C19" s="203">
        <v>109.45</v>
      </c>
      <c r="D19" s="192"/>
      <c r="E19" s="192"/>
      <c r="F19" s="192" t="s">
        <v>200</v>
      </c>
      <c r="G19" s="192"/>
      <c r="H19" s="480">
        <v>1</v>
      </c>
      <c r="I19" s="481"/>
      <c r="J19" s="482">
        <f>IF(I19&lt;C19,H19-(H19*I19)/C19,0)*C11</f>
        <v>1</v>
      </c>
      <c r="K19" s="192"/>
      <c r="L19" s="192"/>
      <c r="M19" s="192"/>
      <c r="N19" s="192"/>
      <c r="O19" s="192"/>
      <c r="P19" s="192"/>
    </row>
    <row r="20" spans="1:16" x14ac:dyDescent="0.2">
      <c r="A20" s="192"/>
      <c r="B20" s="192" t="s">
        <v>6</v>
      </c>
      <c r="C20" s="207">
        <v>45173</v>
      </c>
      <c r="D20" s="192"/>
      <c r="E20" s="192"/>
      <c r="F20" s="192" t="s">
        <v>201</v>
      </c>
      <c r="G20" s="192"/>
      <c r="H20" s="192"/>
      <c r="I20" s="192"/>
      <c r="J20" s="480">
        <v>9</v>
      </c>
      <c r="K20" s="192"/>
      <c r="L20" s="192"/>
      <c r="M20" s="192"/>
      <c r="N20" s="192"/>
      <c r="O20" s="192"/>
      <c r="P20" s="192"/>
    </row>
    <row r="21" spans="1:16" x14ac:dyDescent="0.2">
      <c r="A21" s="192"/>
      <c r="B21" s="192" t="s">
        <v>7</v>
      </c>
      <c r="C21" s="207">
        <v>44926</v>
      </c>
      <c r="D21" s="192"/>
      <c r="E21" s="192"/>
      <c r="F21" s="192" t="s">
        <v>202</v>
      </c>
      <c r="G21" s="192"/>
      <c r="H21" s="192"/>
      <c r="I21" s="192"/>
      <c r="J21" s="483">
        <f>AMD!E216</f>
        <v>1561</v>
      </c>
      <c r="K21" s="192"/>
      <c r="L21" s="192"/>
      <c r="M21" s="192"/>
      <c r="N21" s="192"/>
      <c r="O21" s="192"/>
      <c r="P21" s="192"/>
    </row>
    <row r="22" spans="1:16" x14ac:dyDescent="0.2">
      <c r="A22" s="192"/>
      <c r="B22" s="192"/>
      <c r="C22" s="192"/>
      <c r="D22" s="192"/>
      <c r="E22" s="192"/>
      <c r="F22" s="192" t="s">
        <v>203</v>
      </c>
      <c r="G22" s="192"/>
      <c r="H22" s="192"/>
      <c r="I22" s="192"/>
      <c r="J22" s="484">
        <f>SUM(J19:J21)</f>
        <v>1571</v>
      </c>
      <c r="K22" s="192"/>
      <c r="L22" s="192"/>
      <c r="M22" s="192"/>
      <c r="N22" s="192"/>
      <c r="O22" s="192"/>
      <c r="P22" s="192"/>
    </row>
    <row r="23" spans="1:16" x14ac:dyDescent="0.2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</row>
    <row r="24" spans="1:16" x14ac:dyDescent="0.2">
      <c r="A24" s="199" t="s">
        <v>190</v>
      </c>
      <c r="B24" s="200" t="s">
        <v>207</v>
      </c>
      <c r="C24" s="200"/>
      <c r="D24" s="192"/>
      <c r="E24" s="192"/>
      <c r="F24" s="200" t="s">
        <v>208</v>
      </c>
      <c r="G24" s="200"/>
      <c r="H24" s="200"/>
      <c r="I24" s="200"/>
      <c r="J24" s="200"/>
      <c r="K24" s="192"/>
      <c r="L24" s="192"/>
      <c r="M24" s="192"/>
      <c r="N24" s="192"/>
      <c r="O24" s="192"/>
      <c r="P24" s="192"/>
    </row>
    <row r="25" spans="1:16" x14ac:dyDescent="0.2">
      <c r="A25" s="199"/>
      <c r="B25" s="192" t="s">
        <v>209</v>
      </c>
      <c r="C25" s="485">
        <v>0.5</v>
      </c>
      <c r="D25" s="192"/>
      <c r="E25" s="192"/>
      <c r="F25" s="192" t="s">
        <v>5</v>
      </c>
      <c r="G25" s="192"/>
      <c r="H25" s="192"/>
      <c r="I25" s="192"/>
      <c r="J25" s="486">
        <f>C19</f>
        <v>109.45</v>
      </c>
      <c r="K25" s="192"/>
      <c r="L25" s="192"/>
      <c r="M25" s="192"/>
      <c r="N25" s="192"/>
      <c r="O25" s="192"/>
      <c r="P25" s="192"/>
    </row>
    <row r="26" spans="1:16" x14ac:dyDescent="0.2">
      <c r="A26" s="199"/>
      <c r="B26" s="192" t="s">
        <v>210</v>
      </c>
      <c r="C26" s="487">
        <f>1-C25</f>
        <v>0.5</v>
      </c>
      <c r="D26" s="192"/>
      <c r="E26" s="192"/>
      <c r="F26" s="192" t="s">
        <v>211</v>
      </c>
      <c r="G26" s="192"/>
      <c r="H26" s="192"/>
      <c r="I26" s="192"/>
      <c r="J26" s="488">
        <v>0.3</v>
      </c>
      <c r="K26" s="192"/>
      <c r="L26" s="192"/>
      <c r="M26" s="192"/>
      <c r="N26" s="192"/>
      <c r="O26" s="192"/>
      <c r="P26" s="192"/>
    </row>
    <row r="27" spans="1:16" x14ac:dyDescent="0.2">
      <c r="A27" s="199"/>
      <c r="B27" s="192" t="s">
        <v>212</v>
      </c>
      <c r="C27" s="209" t="s">
        <v>186</v>
      </c>
      <c r="D27" s="192" t="s">
        <v>213</v>
      </c>
      <c r="E27" s="192"/>
      <c r="F27" s="216" t="s">
        <v>214</v>
      </c>
      <c r="G27" s="216"/>
      <c r="H27" s="216"/>
      <c r="I27" s="216"/>
      <c r="J27" s="489">
        <f>J25*(1+J26)</f>
        <v>142.285</v>
      </c>
      <c r="K27" s="192"/>
      <c r="L27" s="192"/>
      <c r="M27" s="192"/>
      <c r="N27" s="192"/>
      <c r="O27" s="192"/>
      <c r="P27" s="192"/>
    </row>
    <row r="28" spans="1:16" x14ac:dyDescent="0.2">
      <c r="A28" s="192"/>
      <c r="B28" s="192"/>
      <c r="C28" s="218"/>
      <c r="D28" s="192"/>
      <c r="E28" s="192"/>
      <c r="F28" s="192" t="s">
        <v>203</v>
      </c>
      <c r="G28" s="192"/>
      <c r="H28" s="192"/>
      <c r="I28" s="192"/>
      <c r="J28" s="490">
        <f>J22</f>
        <v>1571</v>
      </c>
      <c r="K28" s="192"/>
      <c r="L28" s="192"/>
      <c r="M28" s="192"/>
      <c r="N28" s="192"/>
      <c r="O28" s="192"/>
      <c r="P28" s="192"/>
    </row>
    <row r="29" spans="1:16" x14ac:dyDescent="0.2">
      <c r="A29" s="192"/>
      <c r="B29" s="192" t="s">
        <v>215</v>
      </c>
      <c r="C29" s="439">
        <v>6</v>
      </c>
      <c r="D29" s="192"/>
      <c r="E29" s="192"/>
      <c r="F29" s="216" t="s">
        <v>216</v>
      </c>
      <c r="G29" s="216"/>
      <c r="H29" s="216"/>
      <c r="I29" s="192"/>
      <c r="J29" s="491">
        <f>J27*J28</f>
        <v>223529.73499999999</v>
      </c>
      <c r="K29" s="192"/>
      <c r="L29" s="192"/>
      <c r="M29" s="192"/>
      <c r="N29" s="192"/>
      <c r="O29" s="192"/>
      <c r="P29" s="192"/>
    </row>
    <row r="30" spans="1:16" x14ac:dyDescent="0.2">
      <c r="A30" s="192"/>
      <c r="B30" s="192"/>
      <c r="C30" s="192"/>
      <c r="D30" s="192"/>
      <c r="E30" s="192"/>
      <c r="F30" s="222" t="s">
        <v>217</v>
      </c>
      <c r="G30" s="222"/>
      <c r="H30" s="222"/>
      <c r="I30" s="192"/>
      <c r="J30" s="304">
        <f>AMD!E80</f>
        <v>2467</v>
      </c>
      <c r="K30" s="192"/>
      <c r="L30" s="192"/>
      <c r="M30" s="192"/>
      <c r="N30" s="192"/>
      <c r="O30" s="192"/>
      <c r="P30" s="192"/>
    </row>
    <row r="31" spans="1:16" x14ac:dyDescent="0.2">
      <c r="A31" s="192"/>
      <c r="B31" s="192" t="s">
        <v>218</v>
      </c>
      <c r="C31" s="419">
        <v>2000</v>
      </c>
      <c r="D31" s="192"/>
      <c r="E31" s="192"/>
      <c r="F31" s="222" t="s">
        <v>219</v>
      </c>
      <c r="G31" s="222"/>
      <c r="H31" s="222"/>
      <c r="I31" s="192"/>
      <c r="J31" s="304">
        <f>-AMD!E58</f>
        <v>-5855</v>
      </c>
      <c r="K31" s="192"/>
      <c r="L31" s="192"/>
      <c r="M31" s="192"/>
      <c r="N31" s="192"/>
      <c r="O31" s="192"/>
      <c r="P31" s="192"/>
    </row>
    <row r="32" spans="1:16" x14ac:dyDescent="0.2">
      <c r="A32" s="192"/>
      <c r="B32" s="192" t="s">
        <v>220</v>
      </c>
      <c r="C32" s="492">
        <f>NVDA!E58</f>
        <v>3389</v>
      </c>
      <c r="D32" s="192"/>
      <c r="E32" s="192"/>
      <c r="F32" s="216" t="s">
        <v>221</v>
      </c>
      <c r="G32" s="216"/>
      <c r="H32" s="216"/>
      <c r="I32" s="192"/>
      <c r="J32" s="388">
        <f>SUM(J29:J31)</f>
        <v>220141.73499999999</v>
      </c>
      <c r="K32" s="192"/>
      <c r="L32" s="192"/>
      <c r="M32" s="192"/>
      <c r="N32" s="192"/>
      <c r="O32" s="192"/>
      <c r="P32" s="192"/>
    </row>
    <row r="33" spans="1:16" x14ac:dyDescent="0.2">
      <c r="A33" s="192"/>
      <c r="B33" s="192" t="s">
        <v>222</v>
      </c>
      <c r="C33" s="492">
        <f>AMD!E58</f>
        <v>5855</v>
      </c>
      <c r="D33" s="192"/>
      <c r="E33" s="192"/>
      <c r="F33" s="216"/>
      <c r="G33" s="216"/>
      <c r="H33" s="216"/>
      <c r="I33" s="192"/>
      <c r="J33" s="221"/>
      <c r="K33" s="192"/>
      <c r="L33" s="192"/>
      <c r="M33" s="192"/>
      <c r="N33" s="192"/>
      <c r="O33" s="192"/>
      <c r="P33" s="192"/>
    </row>
    <row r="34" spans="1:16" x14ac:dyDescent="0.2">
      <c r="A34" s="192"/>
      <c r="B34" s="192"/>
      <c r="C34" s="225"/>
      <c r="D34" s="192"/>
      <c r="E34" s="192"/>
      <c r="F34" s="192" t="s">
        <v>223</v>
      </c>
      <c r="G34" s="192"/>
      <c r="H34" s="192"/>
      <c r="I34" s="192"/>
      <c r="J34" s="440">
        <f>J32/(AMD!E27*0.5+AMD!F27*0.5)</f>
        <v>29.272603058470466</v>
      </c>
      <c r="K34" s="430"/>
      <c r="L34" s="192"/>
      <c r="M34" s="192"/>
      <c r="N34" s="192"/>
      <c r="O34" s="192"/>
      <c r="P34" s="192"/>
    </row>
    <row r="35" spans="1:16" x14ac:dyDescent="0.2">
      <c r="A35" s="192"/>
      <c r="B35" s="192" t="s">
        <v>224</v>
      </c>
      <c r="C35" s="227">
        <f>NVDA!F52</f>
        <v>-4.4726142071274816E-2</v>
      </c>
      <c r="D35" s="192"/>
      <c r="E35" s="192"/>
      <c r="F35" s="192" t="s">
        <v>225</v>
      </c>
      <c r="G35" s="216"/>
      <c r="H35" s="216"/>
      <c r="I35" s="192"/>
      <c r="J35" s="440">
        <f ca="1">J29/(AMD!E39*0.5+AMD!F39*0.5)</f>
        <v>56.771867870543851</v>
      </c>
      <c r="K35" s="192"/>
      <c r="L35" s="192"/>
      <c r="M35" s="192"/>
      <c r="N35" s="192"/>
      <c r="O35" s="192"/>
      <c r="P35" s="192"/>
    </row>
    <row r="36" spans="1:16" x14ac:dyDescent="0.2">
      <c r="A36" s="192"/>
      <c r="B36" s="192" t="s">
        <v>226</v>
      </c>
      <c r="C36" s="227">
        <f>AMD!F52</f>
        <v>-0.11486486486486487</v>
      </c>
      <c r="D36" s="192"/>
      <c r="E36" s="192"/>
      <c r="F36" s="216"/>
      <c r="G36" s="216"/>
      <c r="H36" s="216"/>
      <c r="I36" s="192"/>
      <c r="J36" s="221"/>
      <c r="K36" s="192"/>
      <c r="L36" s="192"/>
      <c r="M36" s="192"/>
      <c r="N36" s="192"/>
      <c r="O36" s="192"/>
      <c r="P36" s="192"/>
    </row>
    <row r="37" spans="1:16" x14ac:dyDescent="0.2">
      <c r="A37" s="192"/>
      <c r="B37" s="192" t="s">
        <v>227</v>
      </c>
      <c r="C37" s="485">
        <v>0.27</v>
      </c>
      <c r="D37" s="192"/>
      <c r="E37" s="192"/>
      <c r="F37" s="216" t="s">
        <v>228</v>
      </c>
      <c r="G37" s="216"/>
      <c r="H37" s="216"/>
      <c r="I37" s="192"/>
      <c r="J37" s="402">
        <f>AMD!E27*0.5+AMD!F27*0.5+NVDA!E27</f>
        <v>14641.401740845478</v>
      </c>
      <c r="K37" s="192"/>
      <c r="L37" s="192"/>
      <c r="M37" s="192"/>
      <c r="N37" s="192"/>
      <c r="O37" s="192"/>
      <c r="P37" s="192"/>
    </row>
    <row r="38" spans="1:16" x14ac:dyDescent="0.2">
      <c r="A38" s="192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</row>
    <row r="39" spans="1:16" x14ac:dyDescent="0.2">
      <c r="A39" s="228" t="s">
        <v>183</v>
      </c>
      <c r="B39" s="192" t="s">
        <v>229</v>
      </c>
      <c r="C39" s="419">
        <v>100</v>
      </c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</row>
    <row r="40" spans="1:16" x14ac:dyDescent="0.2">
      <c r="A40" s="192"/>
      <c r="B40" s="192"/>
      <c r="C40" s="192"/>
      <c r="D40" s="192"/>
      <c r="E40" s="192"/>
      <c r="F40" s="192"/>
      <c r="G40" s="216"/>
      <c r="H40" s="216"/>
      <c r="I40" s="192"/>
      <c r="J40" s="218"/>
      <c r="K40" s="192"/>
      <c r="L40" s="192"/>
      <c r="M40" s="192"/>
      <c r="N40" s="192"/>
      <c r="O40" s="192"/>
      <c r="P40" s="192"/>
    </row>
    <row r="41" spans="1:16" x14ac:dyDescent="0.2">
      <c r="A41" s="192"/>
      <c r="B41" s="229" t="s">
        <v>230</v>
      </c>
      <c r="C41" s="230" t="s">
        <v>231</v>
      </c>
      <c r="D41" s="230" t="s">
        <v>232</v>
      </c>
      <c r="E41" s="192"/>
      <c r="F41" s="229" t="s">
        <v>233</v>
      </c>
      <c r="G41" s="200"/>
      <c r="H41" s="231" t="s">
        <v>234</v>
      </c>
      <c r="I41" s="230" t="s">
        <v>231</v>
      </c>
      <c r="J41" s="230" t="s">
        <v>232</v>
      </c>
      <c r="K41" s="192"/>
      <c r="L41" s="192"/>
      <c r="M41" s="192"/>
      <c r="N41" s="192"/>
      <c r="O41" s="192"/>
      <c r="P41" s="192"/>
    </row>
    <row r="42" spans="1:16" x14ac:dyDescent="0.2">
      <c r="A42" s="232"/>
      <c r="B42" s="192" t="s">
        <v>235</v>
      </c>
      <c r="C42" s="402">
        <f>J29</f>
        <v>223529.73499999999</v>
      </c>
      <c r="D42" s="493">
        <f ca="1">C42/$C$46</f>
        <v>0.97906258816015468</v>
      </c>
      <c r="E42" s="192"/>
      <c r="F42" s="192" t="s">
        <v>236</v>
      </c>
      <c r="G42" s="192"/>
      <c r="H42" s="192"/>
      <c r="I42" s="494">
        <f>MAX(C32+C33-C31,0)</f>
        <v>7244</v>
      </c>
      <c r="J42" s="493">
        <f ca="1">I42/$I$47</f>
        <v>3.1728796120266328E-2</v>
      </c>
      <c r="K42" s="192"/>
      <c r="L42" s="192"/>
      <c r="M42" s="192"/>
      <c r="N42" s="192"/>
      <c r="O42" s="192"/>
      <c r="P42" s="192"/>
    </row>
    <row r="43" spans="1:16" x14ac:dyDescent="0.2">
      <c r="A43" s="235"/>
      <c r="B43" s="192" t="s">
        <v>237</v>
      </c>
      <c r="C43" s="303">
        <f>J30</f>
        <v>2467</v>
      </c>
      <c r="D43" s="493">
        <f ca="1">C43/$C$46</f>
        <v>1.0805485923343048E-2</v>
      </c>
      <c r="E43" s="192"/>
      <c r="F43" s="192" t="s">
        <v>238</v>
      </c>
      <c r="G43" s="192"/>
      <c r="H43" s="495">
        <v>0</v>
      </c>
      <c r="I43" s="303">
        <f>C43</f>
        <v>2467</v>
      </c>
      <c r="J43" s="493">
        <f ca="1">I43/$I$47</f>
        <v>1.0805485923343048E-2</v>
      </c>
      <c r="K43" s="192"/>
      <c r="L43" s="192"/>
      <c r="M43" s="192"/>
      <c r="N43" s="192"/>
      <c r="O43" s="192"/>
      <c r="P43" s="192"/>
    </row>
    <row r="44" spans="1:16" x14ac:dyDescent="0.2">
      <c r="A44" s="235"/>
      <c r="B44" s="192" t="s">
        <v>239</v>
      </c>
      <c r="C44" s="303">
        <f ca="1">SUM(L53:L56)</f>
        <v>2213.2195454545463</v>
      </c>
      <c r="D44" s="493">
        <f ca="1">C44/$C$46</f>
        <v>9.6939248656979313E-3</v>
      </c>
      <c r="E44" s="192"/>
      <c r="F44" s="192" t="str">
        <f>B53</f>
        <v>Revolver</v>
      </c>
      <c r="G44" s="192"/>
      <c r="H44" s="495">
        <f>E53</f>
        <v>0</v>
      </c>
      <c r="I44" s="303">
        <f>D53</f>
        <v>0</v>
      </c>
      <c r="J44" s="493">
        <f ca="1">I44/$I$47</f>
        <v>0</v>
      </c>
      <c r="K44" s="192"/>
      <c r="L44" s="192"/>
      <c r="M44" s="192"/>
      <c r="N44" s="192"/>
      <c r="O44" s="192"/>
      <c r="P44" s="192"/>
    </row>
    <row r="45" spans="1:16" x14ac:dyDescent="0.2">
      <c r="A45" s="235"/>
      <c r="B45" s="192" t="s">
        <v>229</v>
      </c>
      <c r="C45" s="303">
        <f>C39</f>
        <v>100</v>
      </c>
      <c r="D45" s="493">
        <f ca="1">C45/$C$46</f>
        <v>4.3800105080433918E-4</v>
      </c>
      <c r="E45" s="192"/>
      <c r="F45" s="192" t="str">
        <f>B54</f>
        <v xml:space="preserve">New Term Loan </v>
      </c>
      <c r="G45" s="192"/>
      <c r="H45" s="495">
        <f ca="1">E54</f>
        <v>7.3019632385658184</v>
      </c>
      <c r="I45" s="303">
        <f ca="1">D54</f>
        <v>106910.97727272726</v>
      </c>
      <c r="J45" s="493">
        <f ca="1">I45/$I$47</f>
        <v>0.46827120387973364</v>
      </c>
      <c r="K45" s="192"/>
      <c r="L45" s="192"/>
      <c r="M45" s="192"/>
      <c r="N45" s="192"/>
      <c r="O45" s="192"/>
      <c r="P45" s="192"/>
    </row>
    <row r="46" spans="1:16" x14ac:dyDescent="0.2">
      <c r="A46" s="235"/>
      <c r="B46" s="216" t="s">
        <v>240</v>
      </c>
      <c r="C46" s="388">
        <f ca="1">SUM(C42:C45)</f>
        <v>228309.95454545453</v>
      </c>
      <c r="D46" s="496">
        <f ca="1">SUM(D42:D45)</f>
        <v>1</v>
      </c>
      <c r="E46" s="192"/>
      <c r="F46" s="192" t="s">
        <v>241</v>
      </c>
      <c r="G46" s="192"/>
      <c r="H46" s="192"/>
      <c r="I46" s="303">
        <f ca="1">C46-SUM(I42:I45)</f>
        <v>111687.97727272726</v>
      </c>
      <c r="J46" s="493">
        <f ca="1">I46/$I$47</f>
        <v>0.48919451407665693</v>
      </c>
      <c r="K46" s="192"/>
      <c r="L46" s="192"/>
      <c r="M46" s="192"/>
      <c r="N46" s="192"/>
      <c r="O46" s="192"/>
      <c r="P46" s="192"/>
    </row>
    <row r="47" spans="1:16" x14ac:dyDescent="0.2">
      <c r="A47" s="228" t="s">
        <v>183</v>
      </c>
      <c r="B47" s="192"/>
      <c r="C47" s="192"/>
      <c r="D47" s="192"/>
      <c r="E47" s="192"/>
      <c r="F47" s="216" t="s">
        <v>242</v>
      </c>
      <c r="G47" s="192"/>
      <c r="H47" s="192"/>
      <c r="I47" s="388">
        <f ca="1">SUM(I42:I46)</f>
        <v>228309.95454545453</v>
      </c>
      <c r="J47" s="497">
        <f ca="1">SUM(J42:J46)</f>
        <v>1</v>
      </c>
      <c r="K47" s="192"/>
      <c r="L47" s="192"/>
      <c r="M47" s="192"/>
      <c r="N47" s="192"/>
      <c r="O47" s="192"/>
      <c r="P47" s="192"/>
    </row>
    <row r="48" spans="1:16" x14ac:dyDescent="0.2">
      <c r="A48" s="192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</row>
    <row r="49" spans="1:16" x14ac:dyDescent="0.2">
      <c r="A49" s="199" t="s">
        <v>190</v>
      </c>
      <c r="B49" s="200" t="s">
        <v>243</v>
      </c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192"/>
      <c r="N49" s="192"/>
      <c r="O49" s="192"/>
      <c r="P49" s="192"/>
    </row>
    <row r="50" spans="1:16" x14ac:dyDescent="0.2">
      <c r="A50" s="199"/>
      <c r="B50" s="239"/>
      <c r="C50" s="239"/>
      <c r="D50" s="239"/>
      <c r="E50" s="239"/>
      <c r="F50" s="240" t="s">
        <v>244</v>
      </c>
      <c r="G50" s="239"/>
      <c r="H50" s="239"/>
      <c r="I50" s="239"/>
      <c r="J50" s="239"/>
      <c r="K50" s="192"/>
      <c r="L50" s="192"/>
      <c r="M50" s="192"/>
      <c r="N50" s="192"/>
      <c r="O50" s="192"/>
      <c r="P50" s="192"/>
    </row>
    <row r="51" spans="1:16" x14ac:dyDescent="0.2">
      <c r="A51" s="192"/>
      <c r="B51" s="239"/>
      <c r="C51" s="240" t="s">
        <v>245</v>
      </c>
      <c r="D51" s="239"/>
      <c r="E51" s="240" t="s">
        <v>246</v>
      </c>
      <c r="F51" s="240" t="s">
        <v>247</v>
      </c>
      <c r="G51" s="192"/>
      <c r="H51" s="192"/>
      <c r="I51" s="192"/>
      <c r="J51" s="192"/>
      <c r="K51" s="192"/>
      <c r="L51" s="192"/>
      <c r="M51" s="192"/>
      <c r="N51" s="192"/>
      <c r="O51" s="192"/>
      <c r="P51" s="192"/>
    </row>
    <row r="52" spans="1:16" x14ac:dyDescent="0.2">
      <c r="A52" s="192"/>
      <c r="B52" s="241" t="s">
        <v>248</v>
      </c>
      <c r="C52" s="240" t="s">
        <v>249</v>
      </c>
      <c r="D52" s="240" t="s">
        <v>231</v>
      </c>
      <c r="E52" s="240" t="s">
        <v>23</v>
      </c>
      <c r="F52" s="240" t="s">
        <v>250</v>
      </c>
      <c r="G52" s="240" t="s">
        <v>251</v>
      </c>
      <c r="H52" s="240" t="s">
        <v>252</v>
      </c>
      <c r="I52" s="240" t="s">
        <v>253</v>
      </c>
      <c r="J52" s="240" t="s">
        <v>254</v>
      </c>
      <c r="K52" s="240" t="s">
        <v>255</v>
      </c>
      <c r="L52" s="240" t="s">
        <v>256</v>
      </c>
      <c r="M52" s="192"/>
      <c r="N52" s="192"/>
      <c r="O52" s="192"/>
      <c r="P52" s="192"/>
    </row>
    <row r="53" spans="1:16" x14ac:dyDescent="0.2">
      <c r="A53" s="192"/>
      <c r="B53" s="192" t="s">
        <v>134</v>
      </c>
      <c r="C53" s="419">
        <v>7500</v>
      </c>
      <c r="D53" s="442"/>
      <c r="E53" s="498"/>
      <c r="F53" s="499">
        <v>400</v>
      </c>
      <c r="G53" s="485">
        <v>0.01</v>
      </c>
      <c r="H53" s="243"/>
      <c r="I53" s="243"/>
      <c r="J53" s="500">
        <v>5</v>
      </c>
      <c r="K53" s="501">
        <v>0.01</v>
      </c>
      <c r="L53" s="402">
        <f>C53*K53+IF(ISBLANK(I53),0,C53*(1-I53/100))</f>
        <v>75</v>
      </c>
      <c r="M53" s="192"/>
      <c r="N53" s="192"/>
      <c r="O53" s="192"/>
      <c r="P53" s="192"/>
    </row>
    <row r="54" spans="1:16" x14ac:dyDescent="0.2">
      <c r="A54" s="192"/>
      <c r="B54" s="192" t="s">
        <v>257</v>
      </c>
      <c r="C54" s="192"/>
      <c r="D54" s="303">
        <f ca="1">C26*C46-I42</f>
        <v>106910.97727272726</v>
      </c>
      <c r="E54" s="495">
        <f ca="1">D54/J37</f>
        <v>7.3019632385658184</v>
      </c>
      <c r="F54" s="499">
        <v>450</v>
      </c>
      <c r="G54" s="485">
        <v>0.01</v>
      </c>
      <c r="H54" s="243"/>
      <c r="I54" s="480">
        <v>99</v>
      </c>
      <c r="J54" s="500">
        <v>5</v>
      </c>
      <c r="K54" s="501">
        <v>0.01</v>
      </c>
      <c r="L54" s="402">
        <f ca="1">D54*K54+IF(ISBLANK(I54),0,D54*(1-I54/100))</f>
        <v>2138.2195454545463</v>
      </c>
      <c r="M54" s="192"/>
      <c r="N54" s="192"/>
      <c r="O54" s="192"/>
      <c r="P54" s="192"/>
    </row>
    <row r="55" spans="1:16" x14ac:dyDescent="0.2">
      <c r="A55" s="192"/>
      <c r="B55" s="192" t="s">
        <v>258</v>
      </c>
      <c r="C55" s="192"/>
      <c r="D55" s="303">
        <f>NVDA!E79</f>
        <v>9703</v>
      </c>
      <c r="E55" s="495">
        <f>D55/J37</f>
        <v>0.66270977135551867</v>
      </c>
      <c r="F55" s="502">
        <v>2.4299999999999999E-2</v>
      </c>
      <c r="G55" s="485"/>
      <c r="H55" s="243"/>
      <c r="I55" s="204"/>
      <c r="J55" s="244"/>
      <c r="K55" s="245"/>
      <c r="L55" s="235"/>
      <c r="M55" s="192"/>
      <c r="N55" s="192"/>
      <c r="O55" s="192"/>
      <c r="P55" s="192"/>
    </row>
    <row r="56" spans="1:16" x14ac:dyDescent="0.2">
      <c r="A56" s="192"/>
      <c r="B56" s="216" t="s">
        <v>259</v>
      </c>
      <c r="C56" s="216"/>
      <c r="D56" s="388">
        <f ca="1">SUM(D54:D55)</f>
        <v>116613.97727272726</v>
      </c>
      <c r="E56" s="247"/>
      <c r="F56" s="248"/>
      <c r="G56" s="249"/>
      <c r="H56" s="249"/>
      <c r="I56" s="250"/>
      <c r="J56" s="251"/>
      <c r="K56" s="252"/>
      <c r="L56" s="235"/>
      <c r="M56" s="192"/>
      <c r="N56" s="192"/>
      <c r="O56" s="192"/>
      <c r="P56" s="192"/>
    </row>
    <row r="57" spans="1:16" x14ac:dyDescent="0.2">
      <c r="A57" s="228" t="s">
        <v>183</v>
      </c>
      <c r="B57" s="197" t="s">
        <v>260</v>
      </c>
      <c r="C57" s="197"/>
      <c r="D57" s="495">
        <f ca="1">D56/J37</f>
        <v>7.964673009921337</v>
      </c>
      <c r="E57" s="247"/>
      <c r="F57" s="248"/>
      <c r="G57" s="249"/>
      <c r="H57" s="248"/>
      <c r="I57" s="249"/>
      <c r="J57" s="251"/>
      <c r="K57" s="252"/>
      <c r="L57" s="235"/>
      <c r="M57" s="192"/>
      <c r="N57" s="192"/>
      <c r="O57" s="192"/>
      <c r="P57" s="192"/>
    </row>
    <row r="58" spans="1:16" x14ac:dyDescent="0.2">
      <c r="A58" s="192"/>
      <c r="B58" s="197"/>
      <c r="C58" s="197"/>
      <c r="D58" s="253"/>
      <c r="E58" s="247"/>
      <c r="F58" s="248"/>
      <c r="G58" s="249"/>
      <c r="H58" s="248"/>
      <c r="I58" s="249"/>
      <c r="J58" s="251"/>
      <c r="K58" s="252"/>
      <c r="L58" s="235"/>
      <c r="M58" s="192"/>
      <c r="N58" s="192"/>
      <c r="O58" s="192"/>
      <c r="P58" s="192"/>
    </row>
    <row r="59" spans="1:16" x14ac:dyDescent="0.2">
      <c r="A59" s="192"/>
      <c r="B59" s="200" t="s">
        <v>261</v>
      </c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192"/>
      <c r="N59" s="192"/>
      <c r="O59" s="192"/>
      <c r="P59" s="192"/>
    </row>
    <row r="60" spans="1:16" x14ac:dyDescent="0.2">
      <c r="A60" s="192"/>
      <c r="B60" s="197"/>
      <c r="C60" s="197"/>
      <c r="D60" s="253"/>
      <c r="E60" s="247"/>
      <c r="F60" s="248"/>
      <c r="G60" s="249"/>
      <c r="H60" s="248"/>
      <c r="I60" s="249"/>
      <c r="J60" s="251"/>
      <c r="K60" s="252"/>
      <c r="L60" s="235"/>
      <c r="M60" s="192"/>
      <c r="N60" s="192"/>
      <c r="O60" s="192"/>
      <c r="P60" s="192"/>
    </row>
    <row r="61" spans="1:16" x14ac:dyDescent="0.2">
      <c r="A61" s="192"/>
      <c r="B61" s="241" t="s">
        <v>262</v>
      </c>
      <c r="C61" s="197"/>
      <c r="D61" s="253"/>
      <c r="E61" s="247"/>
      <c r="F61" s="241" t="s">
        <v>263</v>
      </c>
      <c r="G61" s="249"/>
      <c r="H61" s="248"/>
      <c r="I61" s="249"/>
      <c r="J61" s="251"/>
      <c r="K61" s="252"/>
      <c r="L61" s="235"/>
      <c r="M61" s="192"/>
      <c r="N61" s="192"/>
      <c r="O61" s="192"/>
      <c r="P61" s="192"/>
    </row>
    <row r="62" spans="1:16" x14ac:dyDescent="0.2">
      <c r="A62" s="192"/>
      <c r="B62" s="254" t="s">
        <v>264</v>
      </c>
      <c r="C62" s="197"/>
      <c r="D62" s="253"/>
      <c r="E62" s="247"/>
      <c r="F62" s="228" t="s">
        <v>265</v>
      </c>
      <c r="G62" s="255"/>
      <c r="H62" s="256"/>
      <c r="I62" s="494">
        <f>D94</f>
        <v>67580</v>
      </c>
      <c r="J62" s="258"/>
      <c r="K62" s="259"/>
      <c r="L62" s="260"/>
      <c r="M62" s="192"/>
      <c r="N62" s="192"/>
      <c r="O62" s="192"/>
      <c r="P62" s="192"/>
    </row>
    <row r="63" spans="1:16" x14ac:dyDescent="0.2">
      <c r="A63" s="192"/>
      <c r="B63" s="192" t="s">
        <v>266</v>
      </c>
      <c r="C63" s="494">
        <f>D88</f>
        <v>1513</v>
      </c>
      <c r="D63" s="253"/>
      <c r="E63" s="247"/>
      <c r="F63" s="256" t="s">
        <v>267</v>
      </c>
      <c r="G63" s="255"/>
      <c r="H63" s="256"/>
      <c r="I63" s="494">
        <f>C65</f>
        <v>302.60000000000002</v>
      </c>
      <c r="J63" s="258"/>
      <c r="K63" s="259"/>
      <c r="L63" s="260"/>
      <c r="M63" s="192"/>
      <c r="N63" s="192"/>
      <c r="O63" s="192"/>
      <c r="P63" s="192"/>
    </row>
    <row r="64" spans="1:16" x14ac:dyDescent="0.2">
      <c r="A64" s="192"/>
      <c r="B64" s="192" t="s">
        <v>268</v>
      </c>
      <c r="C64" s="485">
        <v>0.2</v>
      </c>
      <c r="D64" s="253"/>
      <c r="E64" s="247"/>
      <c r="F64" s="256" t="s">
        <v>269</v>
      </c>
      <c r="G64" s="255"/>
      <c r="H64" s="256"/>
      <c r="I64" s="494">
        <f>C73</f>
        <v>36177</v>
      </c>
      <c r="J64" s="258"/>
      <c r="K64" s="259"/>
      <c r="L64" s="260"/>
      <c r="M64" s="192"/>
      <c r="N64" s="192"/>
      <c r="O64" s="192"/>
      <c r="P64" s="192"/>
    </row>
    <row r="65" spans="1:16" x14ac:dyDescent="0.2">
      <c r="A65" s="192"/>
      <c r="B65" s="192" t="s">
        <v>270</v>
      </c>
      <c r="C65" s="494">
        <f>C63*C64</f>
        <v>302.60000000000002</v>
      </c>
      <c r="D65" s="253"/>
      <c r="E65" s="247"/>
      <c r="F65" s="256" t="s">
        <v>271</v>
      </c>
      <c r="G65" s="255"/>
      <c r="H65" s="256"/>
      <c r="I65" s="494">
        <f>-D90</f>
        <v>-24177</v>
      </c>
      <c r="J65" s="258"/>
      <c r="K65" s="259"/>
      <c r="L65" s="260"/>
      <c r="M65" s="192"/>
      <c r="N65" s="192"/>
      <c r="O65" s="192"/>
      <c r="P65" s="192"/>
    </row>
    <row r="66" spans="1:16" x14ac:dyDescent="0.2">
      <c r="A66" s="192"/>
      <c r="B66" s="192" t="s">
        <v>272</v>
      </c>
      <c r="C66" s="503">
        <v>8</v>
      </c>
      <c r="D66" s="253"/>
      <c r="E66" s="247"/>
      <c r="F66" s="262" t="s">
        <v>273</v>
      </c>
      <c r="G66" s="263"/>
      <c r="H66" s="262"/>
      <c r="I66" s="504">
        <f>IF($C$27="Stock sale",0,-D91)</f>
        <v>0</v>
      </c>
      <c r="J66" s="258"/>
      <c r="K66" s="259"/>
      <c r="L66" s="260"/>
      <c r="M66" s="192"/>
      <c r="N66" s="192"/>
      <c r="O66" s="192"/>
      <c r="P66" s="192"/>
    </row>
    <row r="67" spans="1:16" x14ac:dyDescent="0.2">
      <c r="A67" s="192"/>
      <c r="B67" s="192" t="s">
        <v>274</v>
      </c>
      <c r="C67" s="494">
        <f>C65/C66</f>
        <v>37.825000000000003</v>
      </c>
      <c r="D67" s="253"/>
      <c r="E67" s="247"/>
      <c r="F67" s="265" t="s">
        <v>275</v>
      </c>
      <c r="G67" s="255"/>
      <c r="H67" s="256"/>
      <c r="I67" s="505">
        <f>SUM(I62:I66)</f>
        <v>79882.600000000006</v>
      </c>
      <c r="J67" s="258"/>
      <c r="K67" s="259"/>
      <c r="L67" s="260"/>
      <c r="M67" s="192"/>
      <c r="N67" s="192"/>
      <c r="O67" s="192"/>
      <c r="P67" s="192"/>
    </row>
    <row r="68" spans="1:16" x14ac:dyDescent="0.2">
      <c r="A68" s="192"/>
      <c r="B68" s="192" t="s">
        <v>276</v>
      </c>
      <c r="C68" s="494">
        <f>IF($C$27="Stock sale",C65*C35,0)</f>
        <v>-13.534130590767761</v>
      </c>
      <c r="D68" s="253"/>
      <c r="E68" s="247"/>
      <c r="F68" s="256"/>
      <c r="G68" s="255"/>
      <c r="H68" s="256"/>
      <c r="I68" s="255"/>
      <c r="J68" s="258"/>
      <c r="K68" s="259"/>
      <c r="L68" s="260"/>
      <c r="M68" s="192"/>
      <c r="N68" s="192"/>
      <c r="O68" s="192"/>
      <c r="P68" s="192"/>
    </row>
    <row r="69" spans="1:16" x14ac:dyDescent="0.2">
      <c r="A69" s="192"/>
      <c r="B69" s="197"/>
      <c r="C69" s="197"/>
      <c r="D69" s="253"/>
      <c r="E69" s="247"/>
      <c r="F69" s="256"/>
      <c r="G69" s="255"/>
      <c r="H69" s="256"/>
      <c r="I69" s="255"/>
      <c r="J69" s="258"/>
      <c r="K69" s="259"/>
      <c r="L69" s="260"/>
      <c r="M69" s="192"/>
      <c r="N69" s="192"/>
      <c r="O69" s="192"/>
      <c r="P69" s="192"/>
    </row>
    <row r="70" spans="1:16" x14ac:dyDescent="0.2">
      <c r="A70" s="192"/>
      <c r="B70" s="254" t="s">
        <v>277</v>
      </c>
      <c r="C70" s="197"/>
      <c r="D70" s="253"/>
      <c r="E70" s="247"/>
      <c r="F70" s="228" t="s">
        <v>278</v>
      </c>
      <c r="G70" s="255"/>
      <c r="H70" s="256"/>
      <c r="I70" s="494">
        <f>D107</f>
        <v>11130</v>
      </c>
      <c r="J70" s="258"/>
      <c r="K70" s="259"/>
      <c r="L70" s="260"/>
      <c r="M70" s="192"/>
      <c r="N70" s="192"/>
      <c r="O70" s="192"/>
      <c r="P70" s="192"/>
    </row>
    <row r="71" spans="1:16" x14ac:dyDescent="0.2">
      <c r="A71" s="192"/>
      <c r="B71" s="192" t="s">
        <v>279</v>
      </c>
      <c r="C71" s="494">
        <f>D89</f>
        <v>24118</v>
      </c>
      <c r="D71" s="253"/>
      <c r="E71" s="247"/>
      <c r="F71" s="192" t="s">
        <v>280</v>
      </c>
      <c r="G71" s="192"/>
      <c r="H71" s="192"/>
      <c r="I71" s="494">
        <f>IF(C27="Stock sale",0,-D104)</f>
        <v>0</v>
      </c>
      <c r="J71" s="258"/>
      <c r="K71" s="259"/>
      <c r="L71" s="260"/>
      <c r="M71" s="192"/>
      <c r="N71" s="192"/>
      <c r="O71" s="192"/>
      <c r="P71" s="192"/>
    </row>
    <row r="72" spans="1:16" x14ac:dyDescent="0.2">
      <c r="A72" s="192"/>
      <c r="B72" s="192" t="s">
        <v>268</v>
      </c>
      <c r="C72" s="485">
        <v>1.5</v>
      </c>
      <c r="D72" s="253"/>
      <c r="E72" s="247"/>
      <c r="F72" s="262" t="s">
        <v>281</v>
      </c>
      <c r="G72" s="263"/>
      <c r="H72" s="262"/>
      <c r="I72" s="504">
        <f>C68+C76</f>
        <v>-1631.5917723032767</v>
      </c>
      <c r="J72" s="258"/>
      <c r="K72" s="259"/>
      <c r="L72" s="260"/>
      <c r="M72" s="192"/>
      <c r="N72" s="192"/>
      <c r="O72" s="192"/>
      <c r="P72" s="192"/>
    </row>
    <row r="73" spans="1:16" x14ac:dyDescent="0.2">
      <c r="A73" s="192"/>
      <c r="B73" s="192" t="s">
        <v>270</v>
      </c>
      <c r="C73" s="494">
        <f>C71*C72</f>
        <v>36177</v>
      </c>
      <c r="D73" s="253"/>
      <c r="E73" s="247"/>
      <c r="F73" s="265" t="s">
        <v>282</v>
      </c>
      <c r="G73" s="255"/>
      <c r="H73" s="256"/>
      <c r="I73" s="505">
        <f>SUM(I70:I72)</f>
        <v>9498.4082276967238</v>
      </c>
      <c r="J73" s="258"/>
      <c r="K73" s="259"/>
      <c r="L73" s="260"/>
      <c r="M73" s="192"/>
      <c r="N73" s="192"/>
      <c r="O73" s="192"/>
      <c r="P73" s="192"/>
    </row>
    <row r="74" spans="1:16" x14ac:dyDescent="0.2">
      <c r="A74" s="192"/>
      <c r="B74" s="192" t="s">
        <v>272</v>
      </c>
      <c r="C74" s="503">
        <v>15</v>
      </c>
      <c r="D74" s="253"/>
      <c r="E74" s="247"/>
      <c r="F74" s="256"/>
      <c r="G74" s="255"/>
      <c r="H74" s="256"/>
      <c r="I74" s="255"/>
      <c r="J74" s="258"/>
      <c r="K74" s="259"/>
      <c r="L74" s="260"/>
      <c r="M74" s="192"/>
      <c r="N74" s="192"/>
      <c r="O74" s="192"/>
      <c r="P74" s="192"/>
    </row>
    <row r="75" spans="1:16" x14ac:dyDescent="0.2">
      <c r="A75" s="192"/>
      <c r="B75" s="192" t="s">
        <v>283</v>
      </c>
      <c r="C75" s="494">
        <f>C73/C74</f>
        <v>2411.8000000000002</v>
      </c>
      <c r="D75" s="253"/>
      <c r="E75" s="247"/>
      <c r="F75" s="192" t="s">
        <v>284</v>
      </c>
      <c r="G75" s="192"/>
      <c r="H75" s="192"/>
      <c r="I75" s="402">
        <f>J29</f>
        <v>223529.73499999999</v>
      </c>
      <c r="J75" s="258"/>
      <c r="K75" s="259"/>
      <c r="L75" s="260"/>
      <c r="M75" s="192"/>
      <c r="N75" s="192"/>
      <c r="O75" s="192"/>
      <c r="P75" s="192"/>
    </row>
    <row r="76" spans="1:16" x14ac:dyDescent="0.2">
      <c r="A76" s="192"/>
      <c r="B76" s="192" t="s">
        <v>276</v>
      </c>
      <c r="C76" s="494">
        <f>IF($C$27="Stock sale",C73*C35,0)</f>
        <v>-1618.0576417125089</v>
      </c>
      <c r="D76" s="253"/>
      <c r="E76" s="247"/>
      <c r="F76" s="267" t="s">
        <v>285</v>
      </c>
      <c r="G76" s="263"/>
      <c r="H76" s="262"/>
      <c r="I76" s="504">
        <f>I67-I73</f>
        <v>70384.191772303282</v>
      </c>
      <c r="J76" s="258"/>
      <c r="K76" s="259"/>
      <c r="L76" s="260"/>
      <c r="M76" s="192"/>
      <c r="N76" s="192"/>
      <c r="O76" s="192"/>
      <c r="P76" s="192"/>
    </row>
    <row r="77" spans="1:16" x14ac:dyDescent="0.2">
      <c r="A77" s="228" t="s">
        <v>183</v>
      </c>
      <c r="B77" s="197"/>
      <c r="C77" s="197"/>
      <c r="D77" s="253"/>
      <c r="E77" s="247"/>
      <c r="F77" s="265" t="s">
        <v>286</v>
      </c>
      <c r="G77" s="255"/>
      <c r="H77" s="256"/>
      <c r="I77" s="505">
        <f>I75-I76</f>
        <v>153145.5432276967</v>
      </c>
      <c r="J77" s="251"/>
      <c r="K77" s="252"/>
      <c r="L77" s="235"/>
      <c r="M77" s="192"/>
      <c r="N77" s="192"/>
      <c r="O77" s="192"/>
      <c r="P77" s="192"/>
    </row>
    <row r="78" spans="1:16" x14ac:dyDescent="0.2">
      <c r="A78" s="192"/>
      <c r="B78" s="192"/>
      <c r="C78" s="192"/>
      <c r="D78" s="235"/>
      <c r="E78" s="247"/>
      <c r="F78" s="248"/>
      <c r="G78" s="249"/>
      <c r="H78" s="248"/>
      <c r="I78" s="249"/>
      <c r="J78" s="249"/>
      <c r="K78" s="252"/>
      <c r="L78" s="235"/>
      <c r="M78" s="192"/>
      <c r="N78" s="192"/>
      <c r="O78" s="192"/>
      <c r="P78" s="192"/>
    </row>
    <row r="79" spans="1:16" x14ac:dyDescent="0.2">
      <c r="A79" s="192"/>
      <c r="B79" s="200" t="s">
        <v>45</v>
      </c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192"/>
      <c r="N79" s="192"/>
      <c r="O79" s="192"/>
      <c r="P79" s="192"/>
    </row>
    <row r="80" spans="1:16" ht="17" x14ac:dyDescent="0.3">
      <c r="A80" s="192"/>
      <c r="B80" s="192"/>
      <c r="C80" s="268" t="s">
        <v>191</v>
      </c>
      <c r="D80" s="269" t="s">
        <v>204</v>
      </c>
      <c r="E80" s="270" t="s">
        <v>287</v>
      </c>
      <c r="F80" s="271"/>
      <c r="G80" s="506"/>
      <c r="H80" s="273"/>
      <c r="I80" s="273"/>
      <c r="J80" s="273"/>
      <c r="K80" s="273"/>
      <c r="L80" s="273"/>
      <c r="M80" s="192"/>
      <c r="N80" s="192"/>
      <c r="O80" s="192"/>
      <c r="P80" s="192"/>
    </row>
    <row r="81" spans="1:16" x14ac:dyDescent="0.2">
      <c r="A81" s="192"/>
      <c r="B81" s="192"/>
      <c r="C81" s="274">
        <f>YEAR(C21)</f>
        <v>2022</v>
      </c>
      <c r="D81" s="275">
        <f>YEAR(C21)</f>
        <v>2022</v>
      </c>
      <c r="E81" s="276" t="s">
        <v>288</v>
      </c>
      <c r="F81" s="277" t="s">
        <v>289</v>
      </c>
      <c r="G81" s="507" t="s">
        <v>290</v>
      </c>
      <c r="H81" s="433"/>
      <c r="I81" s="433"/>
      <c r="J81" s="433"/>
      <c r="K81" s="433"/>
      <c r="L81" s="433"/>
      <c r="M81" s="192"/>
      <c r="N81" s="192"/>
      <c r="O81" s="192"/>
      <c r="P81" s="192"/>
    </row>
    <row r="82" spans="1:16" x14ac:dyDescent="0.2">
      <c r="A82" s="192"/>
      <c r="B82" s="228" t="s">
        <v>291</v>
      </c>
      <c r="C82" s="225">
        <f>NVDA!E58</f>
        <v>3389</v>
      </c>
      <c r="D82" s="280">
        <f>AMD!E58</f>
        <v>5855</v>
      </c>
      <c r="E82" s="192"/>
      <c r="F82" s="508">
        <f>-I42</f>
        <v>-7244</v>
      </c>
      <c r="G82" s="232">
        <f>SUM(C82:F82)</f>
        <v>2000</v>
      </c>
      <c r="H82" s="232"/>
      <c r="I82" s="232"/>
      <c r="J82" s="232"/>
      <c r="K82" s="232"/>
      <c r="L82" s="232"/>
      <c r="M82" s="192"/>
      <c r="N82" s="192"/>
      <c r="O82" s="192"/>
      <c r="P82" s="192"/>
    </row>
    <row r="83" spans="1:16" x14ac:dyDescent="0.2">
      <c r="A83" s="192"/>
      <c r="B83" s="228" t="s">
        <v>292</v>
      </c>
      <c r="C83" s="223">
        <f>NVDA!E60</f>
        <v>3827</v>
      </c>
      <c r="D83" s="284">
        <f>AMD!E60</f>
        <v>4128</v>
      </c>
      <c r="E83" s="192"/>
      <c r="F83" s="285"/>
      <c r="G83" s="235">
        <f>SUM(C83:F83)</f>
        <v>7955</v>
      </c>
      <c r="H83" s="260"/>
      <c r="I83" s="260"/>
      <c r="J83" s="260"/>
      <c r="K83" s="260"/>
      <c r="L83" s="260"/>
      <c r="M83" s="192"/>
      <c r="N83" s="192"/>
      <c r="O83" s="192"/>
      <c r="P83" s="192"/>
    </row>
    <row r="84" spans="1:16" x14ac:dyDescent="0.2">
      <c r="A84" s="192"/>
      <c r="B84" s="228" t="s">
        <v>50</v>
      </c>
      <c r="C84" s="223">
        <f>NVDA!E61</f>
        <v>5159</v>
      </c>
      <c r="D84" s="284">
        <f>AMD!E61</f>
        <v>3771</v>
      </c>
      <c r="E84" s="192"/>
      <c r="F84" s="285"/>
      <c r="G84" s="235">
        <f>SUM(C84:F84)</f>
        <v>8930</v>
      </c>
      <c r="H84" s="260"/>
      <c r="I84" s="260"/>
      <c r="J84" s="260"/>
      <c r="K84" s="260"/>
      <c r="L84" s="260"/>
      <c r="M84" s="192"/>
      <c r="N84" s="192"/>
      <c r="O84" s="192"/>
      <c r="P84" s="192"/>
    </row>
    <row r="85" spans="1:16" x14ac:dyDescent="0.2">
      <c r="A85" s="192"/>
      <c r="B85" s="228" t="s">
        <v>293</v>
      </c>
      <c r="C85" s="223">
        <f>NVDA!E62+NVDA!E59</f>
        <v>10698</v>
      </c>
      <c r="D85" s="284">
        <f>AMD!E59+AMD!E62</f>
        <v>1265</v>
      </c>
      <c r="E85" s="287"/>
      <c r="F85" s="285"/>
      <c r="G85" s="235">
        <f>SUM(C85:F85)</f>
        <v>11963</v>
      </c>
      <c r="H85" s="260"/>
      <c r="I85" s="260"/>
      <c r="J85" s="260"/>
      <c r="K85" s="260"/>
      <c r="L85" s="260"/>
      <c r="M85" s="192"/>
      <c r="N85" s="192"/>
      <c r="O85" s="192"/>
      <c r="P85" s="192"/>
    </row>
    <row r="86" spans="1:16" x14ac:dyDescent="0.2">
      <c r="A86" s="192"/>
      <c r="B86" s="228" t="s">
        <v>294</v>
      </c>
      <c r="C86" s="283">
        <f>SUM(C82:C85)</f>
        <v>23073</v>
      </c>
      <c r="D86" s="290">
        <f>SUM(D82:D85)</f>
        <v>15019</v>
      </c>
      <c r="E86" s="192"/>
      <c r="F86" s="509">
        <f>SUM(F82:F85)</f>
        <v>-7244</v>
      </c>
      <c r="G86" s="510">
        <f>SUM(G82:G85)</f>
        <v>30848</v>
      </c>
      <c r="H86" s="232"/>
      <c r="I86" s="232"/>
      <c r="J86" s="232"/>
      <c r="K86" s="232"/>
      <c r="L86" s="232"/>
      <c r="M86" s="192"/>
      <c r="N86" s="192"/>
      <c r="O86" s="192"/>
      <c r="P86" s="192"/>
    </row>
    <row r="87" spans="1:16" x14ac:dyDescent="0.2">
      <c r="A87" s="192"/>
      <c r="B87" s="228"/>
      <c r="C87" s="235"/>
      <c r="D87" s="293"/>
      <c r="E87" s="192"/>
      <c r="F87" s="285"/>
      <c r="G87" s="192"/>
      <c r="H87" s="235"/>
      <c r="I87" s="235"/>
      <c r="J87" s="235"/>
      <c r="K87" s="235"/>
      <c r="L87" s="235"/>
      <c r="M87" s="192"/>
      <c r="N87" s="192"/>
      <c r="O87" s="192"/>
      <c r="P87" s="192"/>
    </row>
    <row r="88" spans="1:16" x14ac:dyDescent="0.2">
      <c r="A88" s="192"/>
      <c r="B88" s="228" t="s">
        <v>295</v>
      </c>
      <c r="C88" s="225">
        <f>NVDA!E65</f>
        <v>3807</v>
      </c>
      <c r="D88" s="280">
        <f>AMD!E65</f>
        <v>1513</v>
      </c>
      <c r="E88" s="402">
        <f>C65</f>
        <v>302.60000000000002</v>
      </c>
      <c r="F88" s="281"/>
      <c r="G88" s="232">
        <f>SUM(C88:F88)</f>
        <v>5622.6</v>
      </c>
      <c r="H88" s="232"/>
      <c r="I88" s="232"/>
      <c r="J88" s="232"/>
      <c r="K88" s="232"/>
      <c r="L88" s="232"/>
      <c r="M88" s="192"/>
      <c r="N88" s="192"/>
      <c r="O88" s="192"/>
      <c r="P88" s="192"/>
    </row>
    <row r="89" spans="1:16" x14ac:dyDescent="0.2">
      <c r="A89" s="192"/>
      <c r="B89" s="228" t="s">
        <v>296</v>
      </c>
      <c r="C89" s="223">
        <f>NVDA!E68</f>
        <v>1676</v>
      </c>
      <c r="D89" s="284">
        <f>AMD!E68</f>
        <v>24118</v>
      </c>
      <c r="E89" s="402">
        <f ca="1">C73+SUM(L53:L54)</f>
        <v>38390.219545454544</v>
      </c>
      <c r="F89" s="293"/>
      <c r="G89" s="235">
        <f ca="1">SUM(C89:F89)</f>
        <v>64184.219545454544</v>
      </c>
      <c r="H89" s="235"/>
      <c r="I89" s="235"/>
      <c r="J89" s="235"/>
      <c r="K89" s="235"/>
      <c r="L89" s="235"/>
      <c r="M89" s="192"/>
      <c r="N89" s="192"/>
      <c r="O89" s="192"/>
      <c r="P89" s="192"/>
    </row>
    <row r="90" spans="1:16" x14ac:dyDescent="0.2">
      <c r="A90" s="192"/>
      <c r="B90" s="228" t="s">
        <v>55</v>
      </c>
      <c r="C90" s="223">
        <f>NVDA!E67</f>
        <v>4372</v>
      </c>
      <c r="D90" s="284">
        <f>AMD!E67</f>
        <v>24177</v>
      </c>
      <c r="E90" s="402">
        <f>I77</f>
        <v>153145.5432276967</v>
      </c>
      <c r="F90" s="307">
        <f>-D90</f>
        <v>-24177</v>
      </c>
      <c r="G90" s="235">
        <f>SUM(C90:F90)</f>
        <v>157517.5432276967</v>
      </c>
      <c r="H90" s="235"/>
      <c r="I90" s="235"/>
      <c r="J90" s="235"/>
      <c r="K90" s="235"/>
      <c r="L90" s="235"/>
      <c r="M90" s="192"/>
      <c r="N90" s="192"/>
      <c r="O90" s="192"/>
      <c r="P90" s="192"/>
    </row>
    <row r="91" spans="1:16" x14ac:dyDescent="0.2">
      <c r="A91" s="192"/>
      <c r="B91" s="228" t="s">
        <v>297</v>
      </c>
      <c r="C91" s="223">
        <f>NVDA!E66+NVDA!E69+NVDA!E70</f>
        <v>8254</v>
      </c>
      <c r="D91" s="284">
        <f>AMD!E66+AMD!E69+AMD!E70+AMD!E71</f>
        <v>2753</v>
      </c>
      <c r="E91" s="295"/>
      <c r="F91" s="508">
        <f>I66</f>
        <v>0</v>
      </c>
      <c r="G91" s="235">
        <f>SUM(C91:F91)</f>
        <v>11007</v>
      </c>
      <c r="H91" s="260"/>
      <c r="I91" s="260"/>
      <c r="J91" s="260"/>
      <c r="K91" s="260"/>
      <c r="L91" s="260"/>
      <c r="M91" s="192"/>
      <c r="N91" s="192"/>
      <c r="O91" s="192"/>
      <c r="P91" s="192"/>
    </row>
    <row r="92" spans="1:16" x14ac:dyDescent="0.2">
      <c r="A92" s="192"/>
      <c r="B92" s="228" t="s">
        <v>298</v>
      </c>
      <c r="C92" s="283">
        <f>SUM(C88:C91)</f>
        <v>18109</v>
      </c>
      <c r="D92" s="290">
        <f>SUM(D88:D91)</f>
        <v>52561</v>
      </c>
      <c r="E92" s="232">
        <f ca="1">SUM(E88:E91)</f>
        <v>191838.36277315125</v>
      </c>
      <c r="F92" s="509">
        <f>SUM(F88:F91)</f>
        <v>-24177</v>
      </c>
      <c r="G92" s="510">
        <f ca="1">SUM(G88:G91)</f>
        <v>238331.36277315125</v>
      </c>
      <c r="H92" s="232"/>
      <c r="I92" s="232"/>
      <c r="J92" s="232"/>
      <c r="K92" s="232"/>
      <c r="L92" s="232"/>
      <c r="M92" s="192"/>
      <c r="N92" s="192"/>
      <c r="O92" s="192"/>
      <c r="P92" s="192"/>
    </row>
    <row r="93" spans="1:16" x14ac:dyDescent="0.2">
      <c r="A93" s="192"/>
      <c r="B93" s="228"/>
      <c r="C93" s="235"/>
      <c r="D93" s="293"/>
      <c r="E93" s="192"/>
      <c r="F93" s="285"/>
      <c r="G93" s="192"/>
      <c r="H93" s="235"/>
      <c r="I93" s="235"/>
      <c r="J93" s="235"/>
      <c r="K93" s="235"/>
      <c r="L93" s="235"/>
      <c r="M93" s="192"/>
      <c r="N93" s="192"/>
      <c r="O93" s="192"/>
      <c r="P93" s="192"/>
    </row>
    <row r="94" spans="1:16" x14ac:dyDescent="0.2">
      <c r="A94" s="192"/>
      <c r="B94" s="297" t="s">
        <v>59</v>
      </c>
      <c r="C94" s="221">
        <f>C86+C92</f>
        <v>41182</v>
      </c>
      <c r="D94" s="298">
        <f>D86+D92</f>
        <v>67580</v>
      </c>
      <c r="E94" s="192"/>
      <c r="F94" s="298"/>
      <c r="G94" s="511">
        <f ca="1">G86+G92</f>
        <v>269179.36277315125</v>
      </c>
      <c r="H94" s="221"/>
      <c r="I94" s="221"/>
      <c r="J94" s="221"/>
      <c r="K94" s="221"/>
      <c r="L94" s="221"/>
      <c r="M94" s="192"/>
      <c r="N94" s="192"/>
      <c r="O94" s="192"/>
      <c r="P94" s="192"/>
    </row>
    <row r="95" spans="1:16" x14ac:dyDescent="0.2">
      <c r="A95" s="192"/>
      <c r="B95" s="228"/>
      <c r="C95" s="235"/>
      <c r="D95" s="293"/>
      <c r="E95" s="192"/>
      <c r="F95" s="285"/>
      <c r="G95" s="192"/>
      <c r="H95" s="235"/>
      <c r="I95" s="235"/>
      <c r="J95" s="235"/>
      <c r="K95" s="235"/>
      <c r="L95" s="235"/>
      <c r="M95" s="192"/>
      <c r="N95" s="192"/>
      <c r="O95" s="192"/>
      <c r="P95" s="192"/>
    </row>
    <row r="96" spans="1:16" x14ac:dyDescent="0.2">
      <c r="A96" s="192"/>
      <c r="B96" s="228" t="s">
        <v>299</v>
      </c>
      <c r="C96" s="223">
        <f>NVDA!E76</f>
        <v>1250</v>
      </c>
      <c r="D96" s="284">
        <f>AMD!E77</f>
        <v>0</v>
      </c>
      <c r="E96" s="192"/>
      <c r="F96" s="285"/>
      <c r="G96" s="235">
        <f>SUM(C96:F96)</f>
        <v>1250</v>
      </c>
      <c r="H96" s="260"/>
      <c r="I96" s="260"/>
      <c r="J96" s="260"/>
      <c r="K96" s="260"/>
      <c r="L96" s="260"/>
      <c r="M96" s="192"/>
      <c r="N96" s="192"/>
      <c r="O96" s="192"/>
      <c r="P96" s="192"/>
    </row>
    <row r="97" spans="1:16" x14ac:dyDescent="0.2">
      <c r="A97" s="192"/>
      <c r="B97" s="228" t="s">
        <v>300</v>
      </c>
      <c r="C97" s="223">
        <f>NVDA!E74</f>
        <v>1193</v>
      </c>
      <c r="D97" s="284">
        <f>AMD!E75</f>
        <v>2493</v>
      </c>
      <c r="E97" s="192"/>
      <c r="F97" s="285"/>
      <c r="G97" s="235">
        <f>SUM(C97:F97)</f>
        <v>3686</v>
      </c>
      <c r="H97" s="260"/>
      <c r="I97" s="260"/>
      <c r="J97" s="260"/>
      <c r="K97" s="260"/>
      <c r="L97" s="260"/>
      <c r="M97" s="192"/>
      <c r="N97" s="192"/>
      <c r="O97" s="192"/>
      <c r="P97" s="192"/>
    </row>
    <row r="98" spans="1:16" x14ac:dyDescent="0.2">
      <c r="A98" s="192"/>
      <c r="B98" s="228" t="s">
        <v>301</v>
      </c>
      <c r="C98" s="223">
        <f>NVDA!E75</f>
        <v>4120</v>
      </c>
      <c r="D98" s="284">
        <f>AMD!E76</f>
        <v>3876</v>
      </c>
      <c r="E98" s="287"/>
      <c r="F98" s="285"/>
      <c r="G98" s="235">
        <f>SUM(C98:F98)</f>
        <v>7996</v>
      </c>
      <c r="H98" s="260"/>
      <c r="I98" s="260"/>
      <c r="J98" s="260"/>
      <c r="K98" s="260"/>
      <c r="L98" s="260"/>
      <c r="M98" s="192"/>
      <c r="N98" s="192"/>
      <c r="O98" s="192"/>
      <c r="P98" s="192"/>
    </row>
    <row r="99" spans="1:16" x14ac:dyDescent="0.2">
      <c r="A99" s="192"/>
      <c r="B99" s="228" t="s">
        <v>302</v>
      </c>
      <c r="C99" s="283">
        <f>SUM(C96:C98)</f>
        <v>6563</v>
      </c>
      <c r="D99" s="290">
        <f>SUM(D96:D98)</f>
        <v>6369</v>
      </c>
      <c r="E99" s="192"/>
      <c r="F99" s="290">
        <f>SUM(F96:F98)</f>
        <v>0</v>
      </c>
      <c r="G99" s="510">
        <f>SUM(G96:G98)</f>
        <v>12932</v>
      </c>
      <c r="H99" s="232"/>
      <c r="I99" s="232"/>
      <c r="J99" s="232"/>
      <c r="K99" s="232"/>
      <c r="L99" s="232"/>
      <c r="M99" s="192"/>
      <c r="N99" s="192"/>
      <c r="O99" s="192"/>
      <c r="P99" s="192"/>
    </row>
    <row r="100" spans="1:16" x14ac:dyDescent="0.2">
      <c r="A100" s="192"/>
      <c r="B100" s="228"/>
      <c r="C100" s="235"/>
      <c r="D100" s="293"/>
      <c r="E100" s="192"/>
      <c r="F100" s="285"/>
      <c r="G100" s="192"/>
      <c r="H100" s="235"/>
      <c r="I100" s="235"/>
      <c r="J100" s="235"/>
      <c r="K100" s="235"/>
      <c r="L100" s="235"/>
      <c r="M100" s="192"/>
      <c r="N100" s="192"/>
      <c r="O100" s="192"/>
      <c r="P100" s="192"/>
    </row>
    <row r="101" spans="1:16" x14ac:dyDescent="0.2">
      <c r="A101" s="192"/>
      <c r="B101" s="228" t="s">
        <v>303</v>
      </c>
      <c r="C101" s="234">
        <v>0</v>
      </c>
      <c r="D101" s="570">
        <v>0</v>
      </c>
      <c r="E101" s="192"/>
      <c r="F101" s="281"/>
      <c r="G101" s="232">
        <f>SUM(C101:F101)</f>
        <v>0</v>
      </c>
      <c r="H101" s="234"/>
      <c r="I101" s="234"/>
      <c r="J101" s="234"/>
      <c r="K101" s="234"/>
      <c r="L101" s="234"/>
      <c r="M101" s="192"/>
      <c r="N101" s="192"/>
      <c r="O101" s="192"/>
      <c r="P101" s="192"/>
    </row>
    <row r="102" spans="1:16" x14ac:dyDescent="0.2">
      <c r="A102" s="192"/>
      <c r="B102" s="228" t="s">
        <v>65</v>
      </c>
      <c r="C102" s="223">
        <f>NVDA!E79</f>
        <v>9703</v>
      </c>
      <c r="D102" s="284">
        <f>AMD!E80</f>
        <v>2467</v>
      </c>
      <c r="E102" s="402">
        <f ca="1">SUM(D53:D54)</f>
        <v>106910.97727272726</v>
      </c>
      <c r="F102" s="293"/>
      <c r="G102" s="235">
        <f ca="1">SUM(C102:F102)</f>
        <v>119080.97727272726</v>
      </c>
      <c r="H102" s="235"/>
      <c r="I102" s="235"/>
      <c r="J102" s="235"/>
      <c r="K102" s="235"/>
      <c r="L102" s="235"/>
      <c r="M102" s="192"/>
      <c r="N102" s="192"/>
      <c r="O102" s="192"/>
      <c r="P102" s="192"/>
    </row>
    <row r="103" spans="1:16" x14ac:dyDescent="0.2">
      <c r="A103" s="192"/>
      <c r="B103" s="228" t="s">
        <v>304</v>
      </c>
      <c r="C103" s="300">
        <v>0</v>
      </c>
      <c r="D103" s="301">
        <v>0</v>
      </c>
      <c r="E103" s="192"/>
      <c r="F103" s="293"/>
      <c r="G103" s="235">
        <f>SUM(C103:F103)</f>
        <v>0</v>
      </c>
      <c r="H103" s="235"/>
      <c r="I103" s="235"/>
      <c r="J103" s="235"/>
      <c r="K103" s="235"/>
      <c r="L103" s="235"/>
      <c r="M103" s="192"/>
      <c r="N103" s="192"/>
      <c r="O103" s="192"/>
      <c r="P103" s="192"/>
    </row>
    <row r="104" spans="1:16" x14ac:dyDescent="0.2">
      <c r="A104" s="192"/>
      <c r="B104" s="228" t="s">
        <v>305</v>
      </c>
      <c r="C104" s="223">
        <f>NVDA!E81+NVDA!E80</f>
        <v>2815</v>
      </c>
      <c r="D104" s="284">
        <f>AMD!E81+AMD!E82</f>
        <v>2294</v>
      </c>
      <c r="E104" s="512">
        <f>I72</f>
        <v>-1631.5917723032767</v>
      </c>
      <c r="F104" s="508">
        <f>-I71</f>
        <v>0</v>
      </c>
      <c r="G104" s="235">
        <f>SUM(C104:F104)</f>
        <v>3477.4082276967233</v>
      </c>
      <c r="H104" s="260"/>
      <c r="I104" s="260"/>
      <c r="J104" s="260"/>
      <c r="K104" s="260"/>
      <c r="L104" s="260"/>
      <c r="M104" s="192"/>
      <c r="N104" s="192"/>
      <c r="O104" s="192"/>
      <c r="P104" s="192"/>
    </row>
    <row r="105" spans="1:16" x14ac:dyDescent="0.2">
      <c r="A105" s="192"/>
      <c r="B105" s="228" t="s">
        <v>306</v>
      </c>
      <c r="C105" s="283">
        <f>SUM(C101:C104)</f>
        <v>12518</v>
      </c>
      <c r="D105" s="290">
        <f>SUM(D101:D104)</f>
        <v>4761</v>
      </c>
      <c r="E105" s="232">
        <f ca="1">SUM(E102:E104)</f>
        <v>105279.38550042399</v>
      </c>
      <c r="F105" s="290">
        <f>SUM(F101:F104)</f>
        <v>0</v>
      </c>
      <c r="G105" s="510">
        <f ca="1">SUM(G101:G104)</f>
        <v>122558.38550042399</v>
      </c>
      <c r="H105" s="232"/>
      <c r="I105" s="232"/>
      <c r="J105" s="232"/>
      <c r="K105" s="232"/>
      <c r="L105" s="232"/>
      <c r="M105" s="192"/>
      <c r="N105" s="192"/>
      <c r="O105" s="192"/>
      <c r="P105" s="192"/>
    </row>
    <row r="106" spans="1:16" x14ac:dyDescent="0.2">
      <c r="A106" s="192"/>
      <c r="B106" s="228"/>
      <c r="C106" s="235"/>
      <c r="D106" s="293"/>
      <c r="E106" s="192"/>
      <c r="F106" s="285"/>
      <c r="G106" s="192"/>
      <c r="H106" s="235"/>
      <c r="I106" s="235"/>
      <c r="J106" s="235"/>
      <c r="K106" s="235"/>
      <c r="L106" s="235"/>
      <c r="M106" s="192"/>
      <c r="N106" s="192"/>
      <c r="O106" s="192"/>
      <c r="P106" s="192"/>
    </row>
    <row r="107" spans="1:16" x14ac:dyDescent="0.2">
      <c r="A107" s="192"/>
      <c r="B107" s="297" t="s">
        <v>307</v>
      </c>
      <c r="C107" s="221">
        <f>C99+C105</f>
        <v>19081</v>
      </c>
      <c r="D107" s="298">
        <f>D99+D105</f>
        <v>11130</v>
      </c>
      <c r="E107" s="192"/>
      <c r="F107" s="298">
        <f>F99+F105</f>
        <v>0</v>
      </c>
      <c r="G107" s="511">
        <f ca="1">G99+G105</f>
        <v>135490.38550042399</v>
      </c>
      <c r="H107" s="221"/>
      <c r="I107" s="221"/>
      <c r="J107" s="221"/>
      <c r="K107" s="221"/>
      <c r="L107" s="221"/>
      <c r="M107" s="192"/>
      <c r="N107" s="192"/>
      <c r="O107" s="192"/>
      <c r="P107" s="192"/>
    </row>
    <row r="108" spans="1:16" x14ac:dyDescent="0.2">
      <c r="A108" s="192"/>
      <c r="B108" s="228"/>
      <c r="C108" s="235"/>
      <c r="D108" s="293"/>
      <c r="E108" s="192"/>
      <c r="F108" s="285"/>
      <c r="G108" s="192"/>
      <c r="H108" s="235"/>
      <c r="I108" s="235"/>
      <c r="J108" s="235"/>
      <c r="K108" s="235"/>
      <c r="L108" s="235"/>
      <c r="M108" s="192"/>
      <c r="N108" s="192"/>
      <c r="O108" s="192"/>
      <c r="P108" s="192"/>
    </row>
    <row r="109" spans="1:16" x14ac:dyDescent="0.2">
      <c r="A109" s="192"/>
      <c r="B109" s="228" t="s">
        <v>308</v>
      </c>
      <c r="C109" s="223">
        <f>NVDA!E91</f>
        <v>22101</v>
      </c>
      <c r="D109" s="284">
        <f>AMD!E92</f>
        <v>56450</v>
      </c>
      <c r="E109" s="306">
        <f ca="1">I46</f>
        <v>111687.97727272726</v>
      </c>
      <c r="F109" s="307">
        <f>-D109-C39</f>
        <v>-56550</v>
      </c>
      <c r="G109" s="235">
        <f ca="1">SUM(C109:F109)</f>
        <v>133688.97727272726</v>
      </c>
      <c r="H109" s="235"/>
      <c r="I109" s="235"/>
      <c r="J109" s="235"/>
      <c r="K109" s="235"/>
      <c r="L109" s="235"/>
      <c r="M109" s="235"/>
      <c r="N109" s="192"/>
      <c r="O109" s="192"/>
      <c r="P109" s="192"/>
    </row>
    <row r="110" spans="1:16" x14ac:dyDescent="0.2">
      <c r="A110" s="192"/>
      <c r="B110" s="297" t="s">
        <v>309</v>
      </c>
      <c r="C110" s="308">
        <f>SUM(C109:C109)</f>
        <v>22101</v>
      </c>
      <c r="D110" s="309">
        <f>SUM(D109:D109)</f>
        <v>56450</v>
      </c>
      <c r="E110" s="235">
        <f ca="1">SUM(E109)</f>
        <v>111687.97727272726</v>
      </c>
      <c r="F110" s="290">
        <f>SUM(F109)</f>
        <v>-56550</v>
      </c>
      <c r="G110" s="513">
        <f ca="1">SUM(G109:G109)</f>
        <v>133688.97727272726</v>
      </c>
      <c r="H110" s="324"/>
      <c r="I110" s="324"/>
      <c r="J110" s="324"/>
      <c r="K110" s="324"/>
      <c r="L110" s="324"/>
      <c r="M110" s="192"/>
      <c r="N110" s="192"/>
      <c r="O110" s="192"/>
      <c r="P110" s="192"/>
    </row>
    <row r="111" spans="1:16" x14ac:dyDescent="0.2">
      <c r="A111" s="192"/>
      <c r="B111" s="228"/>
      <c r="C111" s="235"/>
      <c r="D111" s="293"/>
      <c r="E111" s="192"/>
      <c r="F111" s="285"/>
      <c r="G111" s="192"/>
      <c r="H111" s="235"/>
      <c r="I111" s="235"/>
      <c r="J111" s="235"/>
      <c r="K111" s="235"/>
      <c r="L111" s="235"/>
      <c r="M111" s="192"/>
      <c r="N111" s="192"/>
      <c r="O111" s="192"/>
      <c r="P111" s="192"/>
    </row>
    <row r="112" spans="1:16" x14ac:dyDescent="0.2">
      <c r="A112" s="192"/>
      <c r="B112" s="297" t="s">
        <v>310</v>
      </c>
      <c r="C112" s="221">
        <f>C107+C110</f>
        <v>41182</v>
      </c>
      <c r="D112" s="298">
        <f>D107+D110</f>
        <v>67580</v>
      </c>
      <c r="E112" s="192"/>
      <c r="F112" s="298"/>
      <c r="G112" s="511">
        <f ca="1">G107+G110</f>
        <v>269179.36277315125</v>
      </c>
      <c r="H112" s="221"/>
      <c r="I112" s="221"/>
      <c r="J112" s="221"/>
      <c r="K112" s="221"/>
      <c r="L112" s="221"/>
      <c r="M112" s="192"/>
      <c r="N112" s="192"/>
      <c r="O112" s="192"/>
      <c r="P112" s="192"/>
    </row>
    <row r="113" spans="1:16" x14ac:dyDescent="0.2">
      <c r="A113" s="192"/>
      <c r="B113" s="192"/>
      <c r="C113" s="235"/>
      <c r="D113" s="285"/>
      <c r="E113" s="192"/>
      <c r="F113" s="285"/>
      <c r="G113" s="192"/>
      <c r="H113" s="235"/>
      <c r="I113" s="235"/>
      <c r="J113" s="235"/>
      <c r="K113" s="235"/>
      <c r="L113" s="235"/>
      <c r="M113" s="192"/>
      <c r="N113" s="192"/>
      <c r="O113" s="192"/>
      <c r="P113" s="192"/>
    </row>
    <row r="114" spans="1:16" x14ac:dyDescent="0.2">
      <c r="A114" s="228" t="s">
        <v>183</v>
      </c>
      <c r="B114" s="228" t="s">
        <v>78</v>
      </c>
      <c r="C114" s="578">
        <f>ROUND(C94-C112,3)</f>
        <v>0</v>
      </c>
      <c r="D114" s="578">
        <f>ROUND(D94-D112,3)</f>
        <v>0</v>
      </c>
      <c r="E114" s="579"/>
      <c r="F114" s="580"/>
      <c r="G114" s="582">
        <f ca="1">ROUND(G94-G112,3)</f>
        <v>0</v>
      </c>
      <c r="H114" s="312"/>
      <c r="I114" s="312"/>
      <c r="J114" s="312"/>
      <c r="K114" s="312"/>
      <c r="L114" s="312"/>
      <c r="M114" s="192"/>
      <c r="N114" s="192"/>
      <c r="O114" s="192"/>
      <c r="P114" s="192"/>
    </row>
    <row r="115" spans="1:16" x14ac:dyDescent="0.2">
      <c r="A115" s="192"/>
      <c r="B115" s="192"/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</row>
    <row r="116" spans="1:16" x14ac:dyDescent="0.2">
      <c r="A116" s="192"/>
      <c r="B116" s="192"/>
      <c r="C116" s="192"/>
      <c r="D116" s="192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</row>
    <row r="117" spans="1:16" x14ac:dyDescent="0.2">
      <c r="A117" s="199" t="s">
        <v>190</v>
      </c>
      <c r="B117" s="200" t="s">
        <v>311</v>
      </c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192"/>
      <c r="N117" s="192"/>
      <c r="O117" s="192"/>
      <c r="P117" s="192"/>
    </row>
    <row r="118" spans="1:16" x14ac:dyDescent="0.2">
      <c r="A118" s="192"/>
      <c r="B118" s="192"/>
      <c r="C118" s="192"/>
      <c r="D118" s="192"/>
      <c r="E118" s="192"/>
      <c r="F118" s="192"/>
      <c r="G118" s="313">
        <f>YEAR(C21)</f>
        <v>2022</v>
      </c>
      <c r="H118" s="279">
        <f>G118+1</f>
        <v>2023</v>
      </c>
      <c r="I118" s="279">
        <f>H118+1</f>
        <v>2024</v>
      </c>
      <c r="J118" s="279">
        <f>I118+1</f>
        <v>2025</v>
      </c>
      <c r="K118" s="279">
        <f>J118+1</f>
        <v>2026</v>
      </c>
      <c r="L118" s="279">
        <f>K118+1</f>
        <v>2027</v>
      </c>
      <c r="M118" s="192"/>
      <c r="N118" s="192"/>
      <c r="O118" s="192"/>
      <c r="P118" s="192"/>
    </row>
    <row r="119" spans="1:16" x14ac:dyDescent="0.2">
      <c r="A119" s="192"/>
      <c r="B119" s="192" t="s">
        <v>312</v>
      </c>
      <c r="C119" s="209" t="s">
        <v>187</v>
      </c>
      <c r="D119" s="192" t="s">
        <v>213</v>
      </c>
      <c r="E119" s="192"/>
      <c r="F119" s="192"/>
      <c r="G119" s="574"/>
      <c r="H119" s="403"/>
      <c r="I119" s="573"/>
      <c r="J119" s="573"/>
      <c r="K119" s="403"/>
      <c r="L119" s="403"/>
      <c r="M119" s="192"/>
      <c r="N119" s="192"/>
      <c r="O119" s="192"/>
      <c r="P119" s="192"/>
    </row>
    <row r="120" spans="1:16" x14ac:dyDescent="0.2">
      <c r="A120" s="192"/>
      <c r="B120" s="216" t="s">
        <v>313</v>
      </c>
      <c r="C120" s="192"/>
      <c r="D120" s="192"/>
      <c r="E120" s="192"/>
      <c r="F120" s="192"/>
      <c r="G120" s="574">
        <v>3.9699999999999999E-2</v>
      </c>
      <c r="H120" s="403">
        <v>5.9900000000000002E-2</v>
      </c>
      <c r="I120" s="573">
        <v>3.85E-2</v>
      </c>
      <c r="J120" s="573">
        <v>2.8000000000000001E-2</v>
      </c>
      <c r="K120" s="403">
        <v>3.1E-2</v>
      </c>
      <c r="L120" s="403">
        <v>4.1000000000000002E-2</v>
      </c>
      <c r="M120" s="192"/>
      <c r="N120" s="192"/>
      <c r="O120" s="192"/>
      <c r="P120" s="192"/>
    </row>
    <row r="121" spans="1:16" x14ac:dyDescent="0.2">
      <c r="A121" s="192"/>
      <c r="B121" s="192"/>
      <c r="C121" s="192"/>
      <c r="D121" s="192"/>
      <c r="E121" s="192"/>
      <c r="F121" s="192"/>
      <c r="G121" s="286"/>
      <c r="H121" s="235"/>
      <c r="I121" s="235"/>
      <c r="J121" s="235"/>
      <c r="K121" s="235"/>
      <c r="L121" s="235"/>
      <c r="M121" s="192"/>
      <c r="N121" s="192"/>
      <c r="O121" s="192"/>
      <c r="P121" s="192"/>
    </row>
    <row r="122" spans="1:16" x14ac:dyDescent="0.2">
      <c r="A122" s="192"/>
      <c r="B122" s="254" t="s">
        <v>314</v>
      </c>
      <c r="C122" s="192"/>
      <c r="D122" s="192"/>
      <c r="E122" s="192"/>
      <c r="F122" s="192"/>
      <c r="G122" s="286"/>
      <c r="H122" s="235"/>
      <c r="I122" s="235"/>
      <c r="J122" s="235"/>
      <c r="K122" s="235"/>
      <c r="L122" s="235"/>
      <c r="M122" s="192"/>
      <c r="N122" s="192"/>
      <c r="O122" s="192"/>
      <c r="P122" s="192"/>
    </row>
    <row r="123" spans="1:16" x14ac:dyDescent="0.2">
      <c r="A123" s="192"/>
      <c r="B123" s="192" t="s">
        <v>118</v>
      </c>
      <c r="C123" s="192"/>
      <c r="D123" s="192"/>
      <c r="E123" s="192"/>
      <c r="F123" s="192"/>
      <c r="G123" s="316">
        <f>NVDA!E39</f>
        <v>4368</v>
      </c>
      <c r="H123" s="223">
        <f ca="1">NVDA!F39</f>
        <v>7941.2390510462756</v>
      </c>
      <c r="I123" s="223">
        <f ca="1">NVDA!G39</f>
        <v>10477.458327549519</v>
      </c>
      <c r="J123" s="223">
        <f ca="1">NVDA!H39</f>
        <v>13824.853165595321</v>
      </c>
      <c r="K123" s="223">
        <f ca="1">NVDA!I39</f>
        <v>18236.707106834721</v>
      </c>
      <c r="L123" s="223">
        <f ca="1">NVDA!J39</f>
        <v>24041.3282175817</v>
      </c>
      <c r="M123" s="192"/>
      <c r="N123" s="192"/>
      <c r="O123" s="192"/>
      <c r="P123" s="192"/>
    </row>
    <row r="124" spans="1:16" x14ac:dyDescent="0.2">
      <c r="A124" s="192"/>
      <c r="B124" s="192" t="s">
        <v>187</v>
      </c>
      <c r="C124" s="192"/>
      <c r="D124" s="192"/>
      <c r="E124" s="192"/>
      <c r="F124" s="192"/>
      <c r="G124" s="571">
        <f>NVDA!E232</f>
        <v>1.7423214998005585</v>
      </c>
      <c r="H124" s="572">
        <f ca="1">NVDA!F232</f>
        <v>3.1796320658440189</v>
      </c>
      <c r="I124" s="572">
        <f ca="1">NVDA!G232</f>
        <v>4.194976610968955</v>
      </c>
      <c r="J124" s="572">
        <f ca="1">NVDA!H232</f>
        <v>5.5191601405955044</v>
      </c>
      <c r="K124" s="572">
        <f ca="1">NVDA!I232</f>
        <v>7.2438021757852757</v>
      </c>
      <c r="L124" s="572">
        <f ca="1">NVDA!J232</f>
        <v>9.4862594252036629</v>
      </c>
      <c r="M124" s="192"/>
      <c r="N124" s="192"/>
      <c r="O124" s="192"/>
      <c r="P124" s="192"/>
    </row>
    <row r="125" spans="1:16" x14ac:dyDescent="0.2">
      <c r="A125" s="192"/>
      <c r="B125" s="192" t="s">
        <v>315</v>
      </c>
      <c r="C125" s="192"/>
      <c r="D125" s="192"/>
      <c r="E125" s="192"/>
      <c r="F125" s="192"/>
      <c r="G125" s="286">
        <f t="shared" ref="G125:L125" si="0">G123/G124</f>
        <v>2507</v>
      </c>
      <c r="H125" s="235">
        <f t="shared" ca="1" si="0"/>
        <v>2497.5339556900303</v>
      </c>
      <c r="I125" s="235">
        <f t="shared" ca="1" si="0"/>
        <v>2497.620201302967</v>
      </c>
      <c r="J125" s="235">
        <f t="shared" ca="1" si="0"/>
        <v>2504.8834991955227</v>
      </c>
      <c r="K125" s="235">
        <f t="shared" ca="1" si="0"/>
        <v>2517.560069185316</v>
      </c>
      <c r="L125" s="235">
        <f t="shared" ca="1" si="0"/>
        <v>2534.3317254962749</v>
      </c>
      <c r="M125" s="192"/>
      <c r="N125" s="192"/>
      <c r="O125" s="192"/>
      <c r="P125" s="192"/>
    </row>
    <row r="126" spans="1:16" x14ac:dyDescent="0.2">
      <c r="A126" s="192"/>
      <c r="B126" s="192"/>
      <c r="C126" s="192"/>
      <c r="D126" s="192"/>
      <c r="E126" s="192"/>
      <c r="F126" s="192"/>
      <c r="G126" s="286"/>
      <c r="H126" s="235"/>
      <c r="I126" s="235"/>
      <c r="J126" s="235"/>
      <c r="K126" s="235"/>
      <c r="L126" s="235"/>
      <c r="M126" s="192"/>
      <c r="N126" s="192"/>
      <c r="O126" s="192"/>
      <c r="P126" s="192"/>
    </row>
    <row r="127" spans="1:16" x14ac:dyDescent="0.2">
      <c r="A127" s="192"/>
      <c r="B127" s="254" t="s">
        <v>316</v>
      </c>
      <c r="C127" s="192"/>
      <c r="D127" s="192"/>
      <c r="E127" s="192"/>
      <c r="F127" s="192"/>
      <c r="G127" s="286"/>
      <c r="H127" s="235"/>
      <c r="I127" s="235"/>
      <c r="J127" s="235"/>
      <c r="K127" s="235"/>
      <c r="L127" s="235"/>
      <c r="M127" s="192"/>
      <c r="N127" s="192"/>
      <c r="O127" s="192"/>
      <c r="P127" s="192"/>
    </row>
    <row r="128" spans="1:16" x14ac:dyDescent="0.2">
      <c r="A128" s="192"/>
      <c r="B128" s="192" t="s">
        <v>118</v>
      </c>
      <c r="C128" s="192"/>
      <c r="D128" s="192"/>
      <c r="E128" s="192"/>
      <c r="F128" s="192"/>
      <c r="G128" s="316">
        <f ca="1">AMD!E39*(0.5)+AMD!F39*(0.5)</f>
        <v>3937.3327562466666</v>
      </c>
      <c r="H128" s="223">
        <f ca="1">AMD!F39*(0.5)+AMD!G39*(0.5)</f>
        <v>9520.7713496097203</v>
      </c>
      <c r="I128" s="223">
        <f ca="1">AMD!G39*(0.5)+AMD!H39*(0.5)</f>
        <v>16776.437208683164</v>
      </c>
      <c r="J128" s="223">
        <f ca="1">AMD!H39*(0.5)+AMD!I39*(0.5)</f>
        <v>27610.244411730069</v>
      </c>
      <c r="K128" s="223">
        <f ca="1">AMD!I39*(0.5)+AMD!J39*(0.5)</f>
        <v>44313.573214881879</v>
      </c>
      <c r="L128" s="223">
        <f ca="1">AMD!J39*(0.5)+AMD!K39*(0.5)</f>
        <v>64562.009416235684</v>
      </c>
      <c r="M128" s="192"/>
      <c r="N128" s="192"/>
      <c r="O128" s="192"/>
      <c r="P128" s="192"/>
    </row>
    <row r="129" spans="1:16" x14ac:dyDescent="0.2">
      <c r="A129" s="192"/>
      <c r="B129" s="192" t="s">
        <v>187</v>
      </c>
      <c r="C129" s="192"/>
      <c r="D129" s="192"/>
      <c r="E129" s="192"/>
      <c r="F129" s="192"/>
      <c r="G129" s="445">
        <f ca="1">AMD!E233*(0.5)+AMD!F233*(0.5)</f>
        <v>2.4714707074129367</v>
      </c>
      <c r="H129" s="514">
        <f ca="1">AMD!F233*(0.5)+AMD!G233*(0.5)</f>
        <v>5.9250563925572601</v>
      </c>
      <c r="I129" s="514">
        <f ca="1">AMD!G233*(0.5)+AMD!H233*(0.5)</f>
        <v>10.374921080412355</v>
      </c>
      <c r="J129" s="514">
        <f ca="1">AMD!H233*(0.5)+AMD!I233*(0.5)</f>
        <v>17.007976152895683</v>
      </c>
      <c r="K129" s="514">
        <f ca="1">AMD!I233*(0.5)+AMD!J233*(0.5)</f>
        <v>27.230248906741693</v>
      </c>
      <c r="L129" s="514">
        <f ca="1">AMD!J233*(0.5)+AMD!K233*(0.5)</f>
        <v>39.608437508895136</v>
      </c>
      <c r="M129" s="192"/>
      <c r="N129" s="192"/>
      <c r="O129" s="192"/>
      <c r="P129" s="192"/>
    </row>
    <row r="130" spans="1:16" x14ac:dyDescent="0.2">
      <c r="A130" s="192"/>
      <c r="B130" s="192" t="s">
        <v>315</v>
      </c>
      <c r="C130" s="192"/>
      <c r="D130" s="192"/>
      <c r="E130" s="192"/>
      <c r="F130" s="192"/>
      <c r="G130" s="286">
        <f t="shared" ref="G130:L130" ca="1" si="1">G128/G129</f>
        <v>1593.113260228826</v>
      </c>
      <c r="H130" s="235">
        <f t="shared" ca="1" si="1"/>
        <v>1606.8659467223308</v>
      </c>
      <c r="I130" s="235">
        <f t="shared" ca="1" si="1"/>
        <v>1617.0182962024401</v>
      </c>
      <c r="J130" s="235">
        <f t="shared" ca="1" si="1"/>
        <v>1623.3703624419361</v>
      </c>
      <c r="K130" s="235">
        <f t="shared" ca="1" si="1"/>
        <v>1627.3657051996568</v>
      </c>
      <c r="L130" s="235">
        <f t="shared" ca="1" si="1"/>
        <v>1630.0064702561558</v>
      </c>
      <c r="M130" s="192"/>
      <c r="N130" s="192"/>
      <c r="O130" s="192"/>
      <c r="P130" s="192"/>
    </row>
    <row r="131" spans="1:16" x14ac:dyDescent="0.2">
      <c r="A131" s="192"/>
      <c r="B131" s="192"/>
      <c r="C131" s="192"/>
      <c r="D131" s="192"/>
      <c r="E131" s="192"/>
      <c r="F131" s="192"/>
      <c r="G131" s="286"/>
      <c r="H131" s="235"/>
      <c r="I131" s="235"/>
      <c r="J131" s="235"/>
      <c r="K131" s="235"/>
      <c r="L131" s="235"/>
      <c r="M131" s="192"/>
      <c r="N131" s="192"/>
      <c r="O131" s="192"/>
      <c r="P131" s="192"/>
    </row>
    <row r="132" spans="1:16" x14ac:dyDescent="0.2">
      <c r="A132" s="192"/>
      <c r="B132" s="254" t="s">
        <v>317</v>
      </c>
      <c r="C132" s="192"/>
      <c r="D132" s="192"/>
      <c r="E132" s="192"/>
      <c r="F132" s="192"/>
      <c r="G132" s="286"/>
      <c r="H132" s="235"/>
      <c r="I132" s="235"/>
      <c r="J132" s="235"/>
      <c r="K132" s="235"/>
      <c r="L132" s="235"/>
      <c r="M132" s="192"/>
      <c r="N132" s="192"/>
      <c r="O132" s="192"/>
      <c r="P132" s="192"/>
    </row>
    <row r="133" spans="1:16" x14ac:dyDescent="0.2">
      <c r="A133" s="192"/>
      <c r="B133" s="228" t="s">
        <v>318</v>
      </c>
      <c r="C133" s="192"/>
      <c r="D133" s="192"/>
      <c r="E133" s="192"/>
      <c r="F133" s="192"/>
      <c r="G133" s="286"/>
      <c r="H133" s="515">
        <f>(1/3)*J133</f>
        <v>1.6666666666666666E-2</v>
      </c>
      <c r="I133" s="515">
        <f>(2/3)*J133</f>
        <v>3.3333333333333333E-2</v>
      </c>
      <c r="J133" s="367">
        <v>0.05</v>
      </c>
      <c r="K133" s="515">
        <f>J133</f>
        <v>0.05</v>
      </c>
      <c r="L133" s="515">
        <f>K133</f>
        <v>0.05</v>
      </c>
      <c r="M133" s="192"/>
      <c r="N133" s="192"/>
      <c r="O133" s="192"/>
      <c r="P133" s="192"/>
    </row>
    <row r="134" spans="1:16" x14ac:dyDescent="0.2">
      <c r="A134" s="192"/>
      <c r="B134" s="228" t="s">
        <v>319</v>
      </c>
      <c r="C134" s="192"/>
      <c r="D134" s="192"/>
      <c r="E134" s="192"/>
      <c r="F134" s="192"/>
      <c r="G134" s="286"/>
      <c r="H134" s="367">
        <v>0.5</v>
      </c>
      <c r="I134" s="515">
        <f>H134</f>
        <v>0.5</v>
      </c>
      <c r="J134" s="515">
        <f>I134</f>
        <v>0.5</v>
      </c>
      <c r="K134" s="515">
        <f>J134</f>
        <v>0.5</v>
      </c>
      <c r="L134" s="515">
        <f>K134</f>
        <v>0.5</v>
      </c>
      <c r="M134" s="192"/>
      <c r="N134" s="192"/>
      <c r="O134" s="192"/>
      <c r="P134" s="192"/>
    </row>
    <row r="135" spans="1:16" x14ac:dyDescent="0.2">
      <c r="A135" s="192"/>
      <c r="B135" s="192" t="s">
        <v>320</v>
      </c>
      <c r="C135" s="192"/>
      <c r="D135" s="192"/>
      <c r="E135" s="192"/>
      <c r="F135" s="192"/>
      <c r="G135" s="286"/>
      <c r="H135" s="303">
        <f>(NVDA!F15+AMD!F15*(0.5)+AMD!G15*(0.5))*'Simple Acquire'!H133*'Simple Acquire'!H134</f>
        <v>686.64561782921157</v>
      </c>
      <c r="I135" s="303">
        <f>(NVDA!G15+AMD!G15*(0.5)+AMD!H15*(0.5))*'Simple Acquire'!I133*'Simple Acquire'!I134</f>
        <v>1993.9775126664626</v>
      </c>
      <c r="J135" s="303">
        <f>(NVDA!H15+AMD!H15*(0.5)+AMD!I15*(0.5))*'Simple Acquire'!J133*'Simple Acquire'!J134</f>
        <v>4374.7135496114815</v>
      </c>
      <c r="K135" s="303">
        <f>(NVDA!I15+AMD!I15*(0.5)+AMD!J15*(0.5))*'Simple Acquire'!K133*'Simple Acquire'!K134</f>
        <v>6443.4952695205066</v>
      </c>
      <c r="L135" s="303">
        <f>(NVDA!J15+AMD!J15*(0.5)+AMD!K15*(0.5))*'Simple Acquire'!L133*'Simple Acquire'!L134</f>
        <v>9553.1634839935141</v>
      </c>
      <c r="M135" s="192"/>
      <c r="N135" s="192"/>
      <c r="O135" s="192"/>
      <c r="P135" s="192"/>
    </row>
    <row r="136" spans="1:16" x14ac:dyDescent="0.2">
      <c r="A136" s="192"/>
      <c r="B136" s="196"/>
      <c r="C136" s="192"/>
      <c r="D136" s="192"/>
      <c r="E136" s="192"/>
      <c r="F136" s="192"/>
      <c r="G136" s="286"/>
      <c r="H136" s="235"/>
      <c r="I136" s="235"/>
      <c r="J136" s="235"/>
      <c r="K136" s="235"/>
      <c r="L136" s="235"/>
      <c r="M136" s="192"/>
      <c r="N136" s="192"/>
      <c r="O136" s="192"/>
      <c r="P136" s="192"/>
    </row>
    <row r="137" spans="1:16" x14ac:dyDescent="0.2">
      <c r="A137" s="192"/>
      <c r="B137" s="228" t="s">
        <v>321</v>
      </c>
      <c r="C137" s="192"/>
      <c r="D137" s="192"/>
      <c r="E137" s="192"/>
      <c r="F137" s="192"/>
      <c r="G137" s="286"/>
      <c r="H137" s="366">
        <f>(1/3)*J137</f>
        <v>9.9999999999999985E-3</v>
      </c>
      <c r="I137" s="515">
        <f>(2/3)*J137</f>
        <v>1.9999999999999997E-2</v>
      </c>
      <c r="J137" s="367">
        <v>0.03</v>
      </c>
      <c r="K137" s="515">
        <f>J137</f>
        <v>0.03</v>
      </c>
      <c r="L137" s="515">
        <f>K137</f>
        <v>0.03</v>
      </c>
      <c r="M137" s="192"/>
      <c r="N137" s="192"/>
      <c r="O137" s="192"/>
      <c r="P137" s="192"/>
    </row>
    <row r="138" spans="1:16" x14ac:dyDescent="0.2">
      <c r="A138" s="192"/>
      <c r="B138" s="192" t="s">
        <v>322</v>
      </c>
      <c r="C138" s="192"/>
      <c r="D138" s="192"/>
      <c r="E138" s="192"/>
      <c r="F138" s="192"/>
      <c r="G138" s="286"/>
      <c r="H138" s="303">
        <f>(NVDA!F23+AMD!F23*(0.5)+AMD!G23*(0.5))*'Simple Acquire'!H137</f>
        <v>265.43927824751847</v>
      </c>
      <c r="I138" s="303">
        <f>(NVDA!G23+AMD!G23*(0.5)+AMD!H23*(0.5))*'Simple Acquire'!I137</f>
        <v>763.64912536981092</v>
      </c>
      <c r="J138" s="303">
        <f>(NVDA!H23+AMD!H23*(0.5)+AMD!I23*(0.5))*'Simple Acquire'!J137</f>
        <v>1660.3042039071306</v>
      </c>
      <c r="K138" s="303">
        <f>(NVDA!I23+AMD!I23*(0.5)+AMD!J23*(0.5))*'Simple Acquire'!K137</f>
        <v>2424.3713079767849</v>
      </c>
      <c r="L138" s="303">
        <f>(NVDA!J23+AMD!J23*(0.5)+AMD!K23*(0.5))*'Simple Acquire'!L137</f>
        <v>3565.1821839767344</v>
      </c>
      <c r="M138" s="192"/>
      <c r="N138" s="192"/>
      <c r="O138" s="192"/>
      <c r="P138" s="192"/>
    </row>
    <row r="139" spans="1:16" x14ac:dyDescent="0.2">
      <c r="A139" s="192"/>
      <c r="B139" s="192"/>
      <c r="C139" s="192"/>
      <c r="D139" s="192"/>
      <c r="E139" s="192"/>
      <c r="F139" s="192"/>
      <c r="G139" s="286"/>
      <c r="H139" s="235"/>
      <c r="I139" s="235"/>
      <c r="J139" s="235"/>
      <c r="K139" s="235"/>
      <c r="L139" s="235"/>
      <c r="M139" s="192"/>
      <c r="N139" s="192"/>
      <c r="O139" s="192"/>
      <c r="P139" s="192"/>
    </row>
    <row r="140" spans="1:16" x14ac:dyDescent="0.2">
      <c r="A140" s="192"/>
      <c r="B140" s="192" t="s">
        <v>323</v>
      </c>
      <c r="C140" s="192"/>
      <c r="D140" s="192"/>
      <c r="E140" s="192"/>
      <c r="F140" s="192"/>
      <c r="G140" s="286"/>
      <c r="H140" s="303">
        <f>H138+H135</f>
        <v>952.08489607673005</v>
      </c>
      <c r="I140" s="303">
        <f>I138+I135</f>
        <v>2757.6266380362736</v>
      </c>
      <c r="J140" s="303">
        <f>J138+J135</f>
        <v>6035.0177535186122</v>
      </c>
      <c r="K140" s="303">
        <f>K138+K135</f>
        <v>8867.8665774972906</v>
      </c>
      <c r="L140" s="303">
        <f>L138+L135</f>
        <v>13118.345667970249</v>
      </c>
      <c r="M140" s="192"/>
      <c r="N140" s="192"/>
      <c r="O140" s="192"/>
      <c r="P140" s="192"/>
    </row>
    <row r="141" spans="1:16" x14ac:dyDescent="0.2">
      <c r="A141" s="192"/>
      <c r="B141" s="192"/>
      <c r="C141" s="192"/>
      <c r="D141" s="192"/>
      <c r="E141" s="192"/>
      <c r="F141" s="192"/>
      <c r="G141" s="286"/>
      <c r="H141" s="235"/>
      <c r="I141" s="235"/>
      <c r="J141" s="235"/>
      <c r="K141" s="235"/>
      <c r="L141" s="235"/>
      <c r="M141" s="192"/>
      <c r="N141" s="192"/>
      <c r="O141" s="192"/>
      <c r="P141" s="192"/>
    </row>
    <row r="142" spans="1:16" x14ac:dyDescent="0.2">
      <c r="A142" s="192"/>
      <c r="B142" s="254" t="s">
        <v>324</v>
      </c>
      <c r="C142" s="192"/>
      <c r="D142" s="192"/>
      <c r="E142" s="192"/>
      <c r="F142" s="192"/>
      <c r="G142" s="286"/>
      <c r="H142" s="235"/>
      <c r="I142" s="235"/>
      <c r="J142" s="235"/>
      <c r="K142" s="235"/>
      <c r="L142" s="235"/>
      <c r="M142" s="192"/>
      <c r="N142" s="192"/>
      <c r="O142" s="192"/>
      <c r="P142" s="192"/>
    </row>
    <row r="143" spans="1:16" x14ac:dyDescent="0.2">
      <c r="A143" s="192"/>
      <c r="B143" s="192" t="s">
        <v>325</v>
      </c>
      <c r="C143" s="192"/>
      <c r="D143" s="192"/>
      <c r="E143" s="192"/>
      <c r="F143" s="192"/>
      <c r="G143" s="286"/>
      <c r="H143" s="303">
        <f ca="1">-(MAX(H$120,$G$54)+$F$54/10000)*SUM($E$102:$F$102)</f>
        <v>-11214.96151590909</v>
      </c>
      <c r="I143" s="303">
        <f t="shared" ref="I143:L143" ca="1" si="2">-(MAX(I$120,$G$54)+$F$54/10000)*SUM($E$102:$F$102)</f>
        <v>-8927.0666022727255</v>
      </c>
      <c r="J143" s="303">
        <f t="shared" ca="1" si="2"/>
        <v>-7804.5013409090898</v>
      </c>
      <c r="K143" s="303">
        <f t="shared" ca="1" si="2"/>
        <v>-8125.2342727272717</v>
      </c>
      <c r="L143" s="303">
        <f t="shared" ca="1" si="2"/>
        <v>-9194.3440454545434</v>
      </c>
      <c r="M143" s="303"/>
      <c r="N143" s="192"/>
      <c r="O143" s="192"/>
      <c r="P143" s="192"/>
    </row>
    <row r="144" spans="1:16" x14ac:dyDescent="0.2">
      <c r="A144" s="192"/>
      <c r="B144" s="192" t="s">
        <v>326</v>
      </c>
      <c r="C144" s="192"/>
      <c r="D144" s="575" t="s">
        <v>327</v>
      </c>
      <c r="E144" s="576">
        <v>7.4999999999999997E-3</v>
      </c>
      <c r="F144" s="192"/>
      <c r="G144" s="286"/>
      <c r="H144" s="303">
        <f>$E$144*$F$82</f>
        <v>-54.33</v>
      </c>
      <c r="I144" s="303">
        <f t="shared" ref="I144:L144" si="3">$E$144*$F$82</f>
        <v>-54.33</v>
      </c>
      <c r="J144" s="303">
        <f t="shared" si="3"/>
        <v>-54.33</v>
      </c>
      <c r="K144" s="303">
        <f t="shared" si="3"/>
        <v>-54.33</v>
      </c>
      <c r="L144" s="303">
        <f t="shared" si="3"/>
        <v>-54.33</v>
      </c>
      <c r="M144" s="192"/>
      <c r="N144" s="192"/>
      <c r="O144" s="192"/>
      <c r="P144" s="192"/>
    </row>
    <row r="145" spans="1:16" x14ac:dyDescent="0.2">
      <c r="A145" s="192"/>
      <c r="B145" s="192" t="s">
        <v>328</v>
      </c>
      <c r="C145" s="192"/>
      <c r="D145" s="192"/>
      <c r="E145" s="192"/>
      <c r="F145" s="192"/>
      <c r="G145" s="286"/>
      <c r="H145" s="303">
        <f>IF($C$119="Cash EPS",0,-$C$67-$C$75)</f>
        <v>0</v>
      </c>
      <c r="I145" s="303">
        <f>IF($C$119="Cash EPS",0,-$C$67-$C$75)</f>
        <v>0</v>
      </c>
      <c r="J145" s="303">
        <f>IF($C$119="Cash EPS",0,-$C$67-$C$75)</f>
        <v>0</v>
      </c>
      <c r="K145" s="303">
        <f>IF($C$119="Cash EPS",0,-$C$67-$C$75)</f>
        <v>0</v>
      </c>
      <c r="L145" s="303">
        <f>IF($C$119="Cash EPS",0,-$C$67-$C$75)</f>
        <v>0</v>
      </c>
      <c r="M145" s="192"/>
      <c r="N145" s="192"/>
      <c r="O145" s="192"/>
      <c r="P145" s="192"/>
    </row>
    <row r="146" spans="1:16" x14ac:dyDescent="0.2">
      <c r="A146" s="192"/>
      <c r="B146" s="192" t="s">
        <v>329</v>
      </c>
      <c r="C146" s="192"/>
      <c r="D146" s="192"/>
      <c r="E146" s="192"/>
      <c r="F146" s="192"/>
      <c r="G146" s="286"/>
      <c r="H146" s="303">
        <f>IF($C119="Cash EPS",0,SUM($L$53:$L$54)/$J$53)</f>
        <v>0</v>
      </c>
      <c r="I146" s="303">
        <f>IF($C119="Cash EPS",0,SUM($L$53:$L$54)/$J$53)</f>
        <v>0</v>
      </c>
      <c r="J146" s="303">
        <f>IF($C119="Cash EPS",0,SUM($L$53:$L$54)/$J$53)</f>
        <v>0</v>
      </c>
      <c r="K146" s="303">
        <f>IF($C119="Cash EPS",0,SUM($L$53:$L$54)/$J$53)</f>
        <v>0</v>
      </c>
      <c r="L146" s="303">
        <f>IF($C119="Cash EPS",0,SUM($L$53:$L$54)/$J$53)</f>
        <v>0</v>
      </c>
      <c r="M146" s="192"/>
      <c r="N146" s="192"/>
      <c r="O146" s="192"/>
      <c r="P146" s="192"/>
    </row>
    <row r="147" spans="1:16" x14ac:dyDescent="0.2">
      <c r="A147" s="192"/>
      <c r="B147" s="192" t="s">
        <v>330</v>
      </c>
      <c r="C147" s="192"/>
      <c r="D147" s="192"/>
      <c r="E147" s="192"/>
      <c r="F147" s="192"/>
      <c r="G147" s="286"/>
      <c r="H147" s="303">
        <f>H140</f>
        <v>952.08489607673005</v>
      </c>
      <c r="I147" s="303">
        <f>I140</f>
        <v>2757.6266380362736</v>
      </c>
      <c r="J147" s="303">
        <f>J140</f>
        <v>6035.0177535186122</v>
      </c>
      <c r="K147" s="303">
        <f>K140</f>
        <v>8867.8665774972906</v>
      </c>
      <c r="L147" s="303">
        <f>L140</f>
        <v>13118.345667970249</v>
      </c>
      <c r="M147" s="192"/>
      <c r="N147" s="192"/>
      <c r="O147" s="192"/>
      <c r="P147" s="192"/>
    </row>
    <row r="148" spans="1:16" x14ac:dyDescent="0.2">
      <c r="A148" s="192"/>
      <c r="B148" s="317" t="s">
        <v>331</v>
      </c>
      <c r="C148" s="317"/>
      <c r="D148" s="317"/>
      <c r="E148" s="317"/>
      <c r="F148" s="317"/>
      <c r="G148" s="319"/>
      <c r="H148" s="426">
        <f ca="1">-SUM(H143:H147)*(1-$C$37)</f>
        <v>7531.5608324776222</v>
      </c>
      <c r="I148" s="426">
        <f ca="1">-SUM(I143:I147)*(1-$C$37)</f>
        <v>4543.352073892609</v>
      </c>
      <c r="J148" s="426">
        <f ca="1">-SUM(J143:J147)*(1-$C$37)</f>
        <v>1331.3839187950487</v>
      </c>
      <c r="K148" s="426">
        <f ca="1">-SUM(K143:K147)*(1-$C$37)</f>
        <v>-502.46068248211384</v>
      </c>
      <c r="L148" s="426">
        <f ca="1">-SUM(L143:L147)*(1-$C$37)</f>
        <v>-2824.8602844364646</v>
      </c>
      <c r="M148" s="192"/>
      <c r="N148" s="192"/>
      <c r="O148" s="192"/>
      <c r="P148" s="192"/>
    </row>
    <row r="149" spans="1:16" x14ac:dyDescent="0.2">
      <c r="A149" s="192"/>
      <c r="B149" s="216" t="s">
        <v>332</v>
      </c>
      <c r="C149" s="216"/>
      <c r="D149" s="216"/>
      <c r="E149" s="216"/>
      <c r="F149" s="216"/>
      <c r="G149" s="516"/>
      <c r="H149" s="517">
        <f ca="1">SUM(H143:H148)</f>
        <v>-2785.645787354737</v>
      </c>
      <c r="I149" s="517">
        <f ca="1">SUM(I143:I148)</f>
        <v>-1680.4178903438424</v>
      </c>
      <c r="J149" s="517">
        <f ca="1">SUM(J143:J148)</f>
        <v>-492.42966859542889</v>
      </c>
      <c r="K149" s="517">
        <f ca="1">SUM(K143:K148)</f>
        <v>185.84162228790512</v>
      </c>
      <c r="L149" s="517">
        <f ca="1">SUM(L143:L148)</f>
        <v>1044.8113380792406</v>
      </c>
      <c r="M149" s="192"/>
      <c r="N149" s="192"/>
      <c r="O149" s="192"/>
      <c r="P149" s="192"/>
    </row>
    <row r="150" spans="1:16" x14ac:dyDescent="0.2">
      <c r="A150" s="192"/>
      <c r="B150" s="216"/>
      <c r="C150" s="216"/>
      <c r="D150" s="216"/>
      <c r="E150" s="216"/>
      <c r="F150" s="216"/>
      <c r="G150" s="516"/>
      <c r="H150" s="518"/>
      <c r="I150" s="518"/>
      <c r="J150" s="518"/>
      <c r="K150" s="518"/>
      <c r="L150" s="518"/>
      <c r="M150" s="192"/>
      <c r="N150" s="192"/>
      <c r="O150" s="192"/>
      <c r="P150" s="192"/>
    </row>
    <row r="151" spans="1:16" x14ac:dyDescent="0.2">
      <c r="A151" s="192"/>
      <c r="B151" s="192" t="s">
        <v>241</v>
      </c>
      <c r="C151" s="192"/>
      <c r="D151" s="192"/>
      <c r="E151" s="192"/>
      <c r="F151" s="192"/>
      <c r="G151" s="519">
        <f ca="1">I46</f>
        <v>111687.97727272726</v>
      </c>
      <c r="H151" s="235"/>
      <c r="I151" s="235"/>
      <c r="J151" s="235"/>
      <c r="K151" s="235"/>
      <c r="L151" s="235"/>
      <c r="M151" s="192"/>
      <c r="N151" s="192"/>
      <c r="O151" s="192"/>
      <c r="P151" s="192"/>
    </row>
    <row r="152" spans="1:16" x14ac:dyDescent="0.2">
      <c r="A152" s="192"/>
      <c r="B152" s="192" t="s">
        <v>333</v>
      </c>
      <c r="C152" s="192"/>
      <c r="D152" s="192"/>
      <c r="E152" s="192"/>
      <c r="F152" s="192"/>
      <c r="G152" s="520">
        <f>C8</f>
        <v>485.09</v>
      </c>
      <c r="H152" s="235"/>
      <c r="I152" s="235"/>
      <c r="J152" s="235"/>
      <c r="K152" s="235"/>
      <c r="L152" s="235"/>
      <c r="M152" s="192"/>
      <c r="N152" s="192"/>
      <c r="O152" s="192"/>
      <c r="P152" s="192"/>
    </row>
    <row r="153" spans="1:16" x14ac:dyDescent="0.2">
      <c r="A153" s="192"/>
      <c r="B153" s="192" t="s">
        <v>334</v>
      </c>
      <c r="C153" s="192"/>
      <c r="D153" s="192"/>
      <c r="E153" s="192"/>
      <c r="F153" s="192"/>
      <c r="G153" s="519">
        <f ca="1">G151/G152</f>
        <v>230.24176394633423</v>
      </c>
      <c r="H153" s="235"/>
      <c r="I153" s="235"/>
      <c r="J153" s="235"/>
      <c r="K153" s="235"/>
      <c r="L153" s="235"/>
      <c r="M153" s="192"/>
      <c r="N153" s="192"/>
      <c r="O153" s="192"/>
      <c r="P153" s="192"/>
    </row>
    <row r="154" spans="1:16" x14ac:dyDescent="0.2">
      <c r="A154" s="192"/>
      <c r="B154" s="192"/>
      <c r="C154" s="192"/>
      <c r="D154" s="192"/>
      <c r="E154" s="192"/>
      <c r="F154" s="192"/>
      <c r="G154" s="294"/>
      <c r="H154" s="235"/>
      <c r="I154" s="235"/>
      <c r="J154" s="235"/>
      <c r="K154" s="235"/>
      <c r="L154" s="235"/>
      <c r="M154" s="192"/>
      <c r="N154" s="192"/>
      <c r="O154" s="192"/>
      <c r="P154" s="192"/>
    </row>
    <row r="155" spans="1:16" x14ac:dyDescent="0.2">
      <c r="A155" s="192"/>
      <c r="B155" s="192" t="s">
        <v>335</v>
      </c>
      <c r="C155" s="192"/>
      <c r="D155" s="192"/>
      <c r="E155" s="192"/>
      <c r="F155" s="192"/>
      <c r="G155" s="294"/>
      <c r="H155" s="303">
        <f ca="1">H149+H128+H123</f>
        <v>14676.364613301259</v>
      </c>
      <c r="I155" s="303">
        <f t="shared" ref="I155:L155" ca="1" si="4">I149+I128+I123</f>
        <v>25573.477645888841</v>
      </c>
      <c r="J155" s="303">
        <f t="shared" ca="1" si="4"/>
        <v>40942.667908729964</v>
      </c>
      <c r="K155" s="303">
        <f t="shared" ca="1" si="4"/>
        <v>62736.121944004502</v>
      </c>
      <c r="L155" s="303">
        <f t="shared" ca="1" si="4"/>
        <v>89648.148971896619</v>
      </c>
      <c r="M155" s="192"/>
      <c r="N155" s="192"/>
      <c r="O155" s="192"/>
      <c r="P155" s="192"/>
    </row>
    <row r="156" spans="1:16" x14ac:dyDescent="0.2">
      <c r="A156" s="192"/>
      <c r="B156" s="192" t="s">
        <v>336</v>
      </c>
      <c r="C156" s="192"/>
      <c r="D156" s="192"/>
      <c r="E156" s="192"/>
      <c r="F156" s="192"/>
      <c r="G156" s="286">
        <f ca="1">G125+$G$153</f>
        <v>2737.2417639463342</v>
      </c>
      <c r="H156" s="303">
        <f ca="1">$G$153+H125</f>
        <v>2727.7757196363646</v>
      </c>
      <c r="I156" s="303">
        <f t="shared" ref="I156:L156" ca="1" si="5">$G$153+I125</f>
        <v>2727.8619652493012</v>
      </c>
      <c r="J156" s="303">
        <f t="shared" ca="1" si="5"/>
        <v>2735.125263141857</v>
      </c>
      <c r="K156" s="303">
        <f t="shared" ca="1" si="5"/>
        <v>2747.8018331316503</v>
      </c>
      <c r="L156" s="303">
        <f t="shared" ca="1" si="5"/>
        <v>2764.5734894426091</v>
      </c>
      <c r="M156" s="192"/>
      <c r="N156" s="192"/>
      <c r="O156" s="192"/>
      <c r="P156" s="192"/>
    </row>
    <row r="157" spans="1:16" x14ac:dyDescent="0.2">
      <c r="A157" s="192"/>
      <c r="B157" s="192"/>
      <c r="C157" s="192"/>
      <c r="D157" s="192"/>
      <c r="E157" s="192"/>
      <c r="F157" s="192"/>
      <c r="G157" s="294"/>
      <c r="H157" s="192"/>
      <c r="I157" s="192"/>
      <c r="J157" s="192"/>
      <c r="K157" s="192"/>
      <c r="L157" s="192"/>
      <c r="M157" s="192"/>
      <c r="N157" s="192"/>
      <c r="O157" s="192"/>
      <c r="P157" s="192"/>
    </row>
    <row r="158" spans="1:16" x14ac:dyDescent="0.2">
      <c r="A158" s="192"/>
      <c r="B158" s="192" t="s">
        <v>337</v>
      </c>
      <c r="C158" s="192"/>
      <c r="D158" s="192"/>
      <c r="E158" s="192"/>
      <c r="F158" s="192"/>
      <c r="G158" s="294"/>
      <c r="H158" s="521">
        <f ca="1">H155/H156</f>
        <v>5.3803413923112942</v>
      </c>
      <c r="I158" s="521">
        <f t="shared" ref="I158:L158" ca="1" si="6">I155/I156</f>
        <v>9.3749163160283526</v>
      </c>
      <c r="J158" s="521">
        <f t="shared" ca="1" si="6"/>
        <v>14.96921126811532</v>
      </c>
      <c r="K158" s="521">
        <f t="shared" ca="1" si="6"/>
        <v>22.831385141229266</v>
      </c>
      <c r="L158" s="521">
        <f t="shared" ca="1" si="6"/>
        <v>32.42747907199653</v>
      </c>
      <c r="M158" s="192"/>
      <c r="N158" s="192"/>
      <c r="O158" s="192"/>
      <c r="P158" s="192"/>
    </row>
    <row r="159" spans="1:16" x14ac:dyDescent="0.2">
      <c r="A159" s="192"/>
      <c r="B159" s="192" t="s">
        <v>338</v>
      </c>
      <c r="C159" s="192"/>
      <c r="D159" s="192"/>
      <c r="E159" s="192"/>
      <c r="F159" s="192"/>
      <c r="G159" s="294"/>
      <c r="H159" s="521">
        <f ca="1">H124</f>
        <v>3.1796320658440189</v>
      </c>
      <c r="I159" s="521">
        <f t="shared" ref="I159:L159" ca="1" si="7">I124</f>
        <v>4.194976610968955</v>
      </c>
      <c r="J159" s="521">
        <f t="shared" ca="1" si="7"/>
        <v>5.5191601405955044</v>
      </c>
      <c r="K159" s="521">
        <f t="shared" ca="1" si="7"/>
        <v>7.2438021757852757</v>
      </c>
      <c r="L159" s="521">
        <f t="shared" ca="1" si="7"/>
        <v>9.4862594252036629</v>
      </c>
      <c r="M159" s="192"/>
      <c r="N159" s="192"/>
      <c r="O159" s="192"/>
      <c r="P159" s="192"/>
    </row>
    <row r="160" spans="1:16" x14ac:dyDescent="0.2">
      <c r="A160" s="192"/>
      <c r="B160" s="216" t="s">
        <v>339</v>
      </c>
      <c r="C160" s="192"/>
      <c r="D160" s="192"/>
      <c r="E160" s="192"/>
      <c r="F160" s="192"/>
      <c r="G160" s="294"/>
      <c r="H160" s="522">
        <f ca="1">H158-H159</f>
        <v>2.2007093264672752</v>
      </c>
      <c r="I160" s="522">
        <f t="shared" ref="I160:L160" ca="1" si="8">I158-I159</f>
        <v>5.1799397050593976</v>
      </c>
      <c r="J160" s="522">
        <f t="shared" ca="1" si="8"/>
        <v>9.4500511275198154</v>
      </c>
      <c r="K160" s="522">
        <f t="shared" ca="1" si="8"/>
        <v>15.587582965443989</v>
      </c>
      <c r="L160" s="522">
        <f t="shared" ca="1" si="8"/>
        <v>22.941219646792867</v>
      </c>
      <c r="M160" s="192"/>
      <c r="N160" s="192"/>
      <c r="O160" s="192"/>
      <c r="P160" s="192"/>
    </row>
    <row r="161" spans="1:16" x14ac:dyDescent="0.2">
      <c r="A161" s="192"/>
      <c r="B161" s="216" t="s">
        <v>340</v>
      </c>
      <c r="C161" s="192"/>
      <c r="D161" s="192"/>
      <c r="E161" s="192"/>
      <c r="F161" s="192"/>
      <c r="G161" s="294"/>
      <c r="H161" s="523">
        <f ca="1">H160/H159</f>
        <v>0.69212703888212512</v>
      </c>
      <c r="I161" s="523">
        <f t="shared" ref="I161:L161" ca="1" si="9">I160/I159</f>
        <v>1.234795848805206</v>
      </c>
      <c r="J161" s="523">
        <f t="shared" ca="1" si="9"/>
        <v>1.7122262965357944</v>
      </c>
      <c r="K161" s="523">
        <f t="shared" ca="1" si="9"/>
        <v>2.1518510013360754</v>
      </c>
      <c r="L161" s="523">
        <f t="shared" ca="1" si="9"/>
        <v>2.418363089021291</v>
      </c>
      <c r="M161" s="192"/>
      <c r="N161" s="192"/>
      <c r="O161" s="192"/>
      <c r="P161" s="192"/>
    </row>
    <row r="162" spans="1:16" x14ac:dyDescent="0.2">
      <c r="A162" s="228" t="s">
        <v>183</v>
      </c>
      <c r="B162" s="192" t="s">
        <v>341</v>
      </c>
      <c r="C162" s="192"/>
      <c r="D162" s="192"/>
      <c r="E162" s="192"/>
      <c r="F162" s="192"/>
      <c r="G162" s="294"/>
      <c r="H162" s="482">
        <f ca="1">(-H156*H160)/(1-$C$37)</f>
        <v>-8223.3444749516857</v>
      </c>
      <c r="I162" s="482">
        <f t="shared" ref="I162:L162" ca="1" si="10">(-I156*I160)/(1-$C$37)</f>
        <v>-19356.384251666048</v>
      </c>
      <c r="J162" s="482">
        <f t="shared" ca="1" si="10"/>
        <v>-35406.950105289914</v>
      </c>
      <c r="K162" s="482">
        <f t="shared" ca="1" si="10"/>
        <v>-58673.40965279271</v>
      </c>
      <c r="L162" s="482">
        <f t="shared" ca="1" si="10"/>
        <v>-86880.394042470536</v>
      </c>
      <c r="M162" s="192"/>
      <c r="N162" s="430"/>
      <c r="O162" s="192"/>
      <c r="P162" s="192"/>
    </row>
  </sheetData>
  <dataConsolidate/>
  <conditionalFormatting sqref="C42:D46 E47:J47 F42:J42 F44:J46 D71:E71 J71:L71 D72:L72 D74:L74 D73:E73 G73:L73 D75:E75 D77:E77 J77:L77 J75:L75 D76:L76 D78:L78 C82:C114 F82:L114 D82:D112">
    <cfRule type="cellIs" dxfId="85" priority="23" operator="equal">
      <formula>0</formula>
    </cfRule>
  </conditionalFormatting>
  <conditionalFormatting sqref="D60:L60 D61:E62 G61:L62 D70:E70 J70:L70 D63:L69 D55:E55 G55:L55 D56:L58 D53:L54">
    <cfRule type="cellIs" dxfId="84" priority="22" operator="equal">
      <formula>0</formula>
    </cfRule>
  </conditionalFormatting>
  <conditionalFormatting sqref="D114">
    <cfRule type="cellIs" dxfId="83" priority="21" operator="equal">
      <formula>0</formula>
    </cfRule>
  </conditionalFormatting>
  <conditionalFormatting sqref="J43">
    <cfRule type="cellIs" dxfId="82" priority="20" operator="equal">
      <formula>0</formula>
    </cfRule>
  </conditionalFormatting>
  <conditionalFormatting sqref="I43">
    <cfRule type="cellIs" dxfId="81" priority="19" operator="equal">
      <formula>0</formula>
    </cfRule>
  </conditionalFormatting>
  <conditionalFormatting sqref="C63">
    <cfRule type="cellIs" dxfId="80" priority="18" operator="equal">
      <formula>0</formula>
    </cfRule>
  </conditionalFormatting>
  <conditionalFormatting sqref="C65">
    <cfRule type="cellIs" dxfId="79" priority="17" operator="equal">
      <formula>0</formula>
    </cfRule>
  </conditionalFormatting>
  <conditionalFormatting sqref="C67">
    <cfRule type="cellIs" dxfId="78" priority="16" operator="equal">
      <formula>0</formula>
    </cfRule>
  </conditionalFormatting>
  <conditionalFormatting sqref="C68">
    <cfRule type="cellIs" dxfId="77" priority="15" operator="equal">
      <formula>0</formula>
    </cfRule>
  </conditionalFormatting>
  <conditionalFormatting sqref="C71">
    <cfRule type="cellIs" dxfId="76" priority="14" operator="equal">
      <formula>0</formula>
    </cfRule>
  </conditionalFormatting>
  <conditionalFormatting sqref="C73">
    <cfRule type="cellIs" dxfId="75" priority="13" operator="equal">
      <formula>0</formula>
    </cfRule>
  </conditionalFormatting>
  <conditionalFormatting sqref="C75">
    <cfRule type="cellIs" dxfId="74" priority="12" operator="equal">
      <formula>0</formula>
    </cfRule>
  </conditionalFormatting>
  <conditionalFormatting sqref="G70:I70">
    <cfRule type="cellIs" dxfId="73" priority="10" operator="equal">
      <formula>0</formula>
    </cfRule>
  </conditionalFormatting>
  <conditionalFormatting sqref="C76">
    <cfRule type="cellIs" dxfId="72" priority="11" operator="equal">
      <formula>0</formula>
    </cfRule>
  </conditionalFormatting>
  <conditionalFormatting sqref="I71">
    <cfRule type="cellIs" dxfId="71" priority="9" operator="equal">
      <formula>0</formula>
    </cfRule>
  </conditionalFormatting>
  <conditionalFormatting sqref="F73">
    <cfRule type="cellIs" dxfId="70" priority="8" operator="equal">
      <formula>0</formula>
    </cfRule>
  </conditionalFormatting>
  <conditionalFormatting sqref="G77:I77">
    <cfRule type="cellIs" dxfId="69" priority="7" operator="equal">
      <formula>0</formula>
    </cfRule>
  </conditionalFormatting>
  <conditionalFormatting sqref="F77">
    <cfRule type="cellIs" dxfId="68" priority="6" operator="equal">
      <formula>0</formula>
    </cfRule>
  </conditionalFormatting>
  <conditionalFormatting sqref="H43">
    <cfRule type="cellIs" dxfId="67" priority="5" operator="equal">
      <formula>0</formula>
    </cfRule>
  </conditionalFormatting>
  <conditionalFormatting sqref="J37">
    <cfRule type="cellIs" dxfId="66" priority="4" operator="equal">
      <formula>0</formula>
    </cfRule>
  </conditionalFormatting>
  <conditionalFormatting sqref="A42:A46">
    <cfRule type="cellIs" dxfId="65" priority="3" operator="equal">
      <formula>0</formula>
    </cfRule>
  </conditionalFormatting>
  <conditionalFormatting sqref="H119:L119">
    <cfRule type="cellIs" dxfId="64" priority="2" operator="equal">
      <formula>0</formula>
    </cfRule>
  </conditionalFormatting>
  <conditionalFormatting sqref="H120:L120">
    <cfRule type="cellIs" dxfId="63" priority="1" operator="equal">
      <formula>0</formula>
    </cfRule>
  </conditionalFormatting>
  <dataValidations count="2">
    <dataValidation type="list" allowBlank="1" showInputMessage="1" showErrorMessage="1" sqref="C27" xr:uid="{3819CF4D-4915-40D2-B4F3-A82BF070FC80}">
      <formula1>$N$3:$N$4</formula1>
    </dataValidation>
    <dataValidation type="list" allowBlank="1" showInputMessage="1" showErrorMessage="1" sqref="C119" xr:uid="{5EF04794-30A7-4272-990C-B79A775CEBC7}">
      <formula1>$O$3:$O$4</formula1>
    </dataValidation>
  </dataValidations>
  <pageMargins left="0.7" right="0.7" top="0.75" bottom="0.75" header="0.3" footer="0.3"/>
  <pageSetup scale="2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329" r:id="rId4" name="Button 65">
              <controlPr defaultSize="0" print="0" autoFill="0" autoPict="0" macro="[0]!circularity_break">
                <anchor moveWithCells="1" sizeWithCells="1">
                  <from>
                    <xdr:col>2</xdr:col>
                    <xdr:colOff>1193800</xdr:colOff>
                    <xdr:row>9</xdr:row>
                    <xdr:rowOff>177800</xdr:rowOff>
                  </from>
                  <to>
                    <xdr:col>3</xdr:col>
                    <xdr:colOff>0</xdr:colOff>
                    <xdr:row>10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27A5-CE91-4AE2-8833-7B3C88794152}">
  <sheetPr codeName="Sheet4"/>
  <dimension ref="A1:O511"/>
  <sheetViews>
    <sheetView showGridLines="0" zoomScaleNormal="100" workbookViewId="0">
      <selection activeCell="L14" sqref="L14"/>
    </sheetView>
  </sheetViews>
  <sheetFormatPr baseColWidth="10" defaultColWidth="8.83203125" defaultRowHeight="15" x14ac:dyDescent="0.2"/>
  <cols>
    <col min="2" max="2" width="65.33203125" bestFit="1" customWidth="1"/>
    <col min="3" max="3" width="25.83203125" bestFit="1" customWidth="1"/>
    <col min="4" max="4" width="17.5" customWidth="1"/>
    <col min="5" max="5" width="11.6640625" customWidth="1"/>
    <col min="6" max="6" width="13.33203125" customWidth="1"/>
    <col min="7" max="11" width="10.6640625" bestFit="1" customWidth="1"/>
    <col min="12" max="12" width="11.6640625" bestFit="1" customWidth="1"/>
  </cols>
  <sheetData>
    <row r="1" spans="1:15" x14ac:dyDescent="0.2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</row>
    <row r="2" spans="1:15" ht="19" x14ac:dyDescent="0.2">
      <c r="A2" s="192"/>
      <c r="B2" s="193" t="str">
        <f>"M&amp;A Model for "&amp;C6&amp;" Acquiring "&amp;C18</f>
        <v>M&amp;A Model for NVIDIA Corp. Acquiring AMD</v>
      </c>
      <c r="C2" s="193"/>
      <c r="D2" s="193"/>
      <c r="E2" s="194"/>
      <c r="F2" s="195"/>
      <c r="G2" s="195"/>
      <c r="H2" s="195"/>
      <c r="I2" s="195"/>
      <c r="J2" s="195"/>
      <c r="K2" s="195"/>
      <c r="L2" s="195"/>
      <c r="M2" s="192"/>
      <c r="N2" s="196" t="s">
        <v>184</v>
      </c>
      <c r="O2" s="196"/>
    </row>
    <row r="3" spans="1:15" x14ac:dyDescent="0.2">
      <c r="A3" s="192"/>
      <c r="B3" s="197" t="s">
        <v>342</v>
      </c>
      <c r="C3" s="198"/>
      <c r="D3" s="198"/>
      <c r="E3" s="198"/>
      <c r="F3" s="192"/>
      <c r="G3" s="192"/>
      <c r="H3" s="192"/>
      <c r="I3" s="192"/>
      <c r="J3" s="192"/>
      <c r="K3" s="192"/>
      <c r="L3" s="192"/>
      <c r="M3" s="192"/>
      <c r="N3" s="192" t="s">
        <v>186</v>
      </c>
      <c r="O3" s="192"/>
    </row>
    <row r="4" spans="1:15" x14ac:dyDescent="0.2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 t="s">
        <v>188</v>
      </c>
      <c r="O4" s="192"/>
    </row>
    <row r="5" spans="1:15" x14ac:dyDescent="0.2">
      <c r="A5" s="199"/>
      <c r="B5" s="200" t="s">
        <v>191</v>
      </c>
      <c r="C5" s="200"/>
      <c r="D5" s="192"/>
      <c r="E5" s="192"/>
      <c r="F5" s="200" t="s">
        <v>192</v>
      </c>
      <c r="G5" s="200"/>
      <c r="H5" s="200"/>
      <c r="I5" s="200"/>
      <c r="J5" s="200"/>
      <c r="K5" s="192"/>
      <c r="L5" s="192"/>
      <c r="M5" s="192"/>
      <c r="N5" s="192"/>
      <c r="O5" s="192"/>
    </row>
    <row r="6" spans="1:15" x14ac:dyDescent="0.2">
      <c r="A6" s="192"/>
      <c r="B6" s="192" t="s">
        <v>193</v>
      </c>
      <c r="C6" s="201" t="s">
        <v>194</v>
      </c>
      <c r="D6" s="192"/>
      <c r="E6" s="192"/>
      <c r="F6" s="198" t="s">
        <v>195</v>
      </c>
      <c r="G6" s="192"/>
      <c r="H6" s="202" t="s">
        <v>196</v>
      </c>
      <c r="I6" s="202" t="s">
        <v>197</v>
      </c>
      <c r="J6" s="202" t="s">
        <v>198</v>
      </c>
      <c r="K6" s="192"/>
      <c r="L6" s="192"/>
      <c r="M6" s="192"/>
      <c r="N6" s="192"/>
      <c r="O6" s="192"/>
    </row>
    <row r="7" spans="1:15" x14ac:dyDescent="0.2">
      <c r="A7" s="192"/>
      <c r="B7" s="192" t="s">
        <v>3</v>
      </c>
      <c r="C7" s="201" t="s">
        <v>4</v>
      </c>
      <c r="D7" s="192"/>
      <c r="E7" s="192"/>
      <c r="F7" s="192"/>
      <c r="G7" s="192"/>
      <c r="H7" s="192"/>
      <c r="I7" s="202" t="s">
        <v>199</v>
      </c>
      <c r="J7" s="202" t="s">
        <v>196</v>
      </c>
      <c r="K7" s="192"/>
      <c r="L7" s="192"/>
      <c r="M7" s="192"/>
      <c r="N7" s="192"/>
      <c r="O7" s="192"/>
    </row>
    <row r="8" spans="1:15" x14ac:dyDescent="0.2">
      <c r="A8" s="192"/>
      <c r="B8" s="192" t="s">
        <v>5</v>
      </c>
      <c r="C8" s="203">
        <v>485.09</v>
      </c>
      <c r="D8" s="192"/>
      <c r="E8" s="192"/>
      <c r="F8" s="192" t="s">
        <v>200</v>
      </c>
      <c r="G8" s="192"/>
      <c r="H8" s="204"/>
      <c r="I8" s="205"/>
      <c r="J8" s="206">
        <f>IF(I8&lt;C8,H8-(H8*I8)/C8,0)*circ</f>
        <v>0</v>
      </c>
      <c r="K8" s="192"/>
      <c r="L8" s="192"/>
      <c r="M8" s="192"/>
      <c r="N8" s="192"/>
      <c r="O8" s="192"/>
    </row>
    <row r="9" spans="1:15" x14ac:dyDescent="0.2">
      <c r="A9" s="192"/>
      <c r="B9" s="192" t="s">
        <v>6</v>
      </c>
      <c r="C9" s="207">
        <v>45173</v>
      </c>
      <c r="D9" s="192"/>
      <c r="E9" s="192"/>
      <c r="F9" s="192" t="s">
        <v>201</v>
      </c>
      <c r="G9" s="192"/>
      <c r="H9" s="192"/>
      <c r="I9" s="192"/>
      <c r="J9" s="204">
        <v>20</v>
      </c>
      <c r="K9" s="192"/>
      <c r="L9" s="192"/>
      <c r="M9" s="192"/>
      <c r="N9" s="192"/>
      <c r="O9" s="192"/>
    </row>
    <row r="10" spans="1:15" x14ac:dyDescent="0.2">
      <c r="A10" s="192"/>
      <c r="B10" s="192" t="s">
        <v>7</v>
      </c>
      <c r="C10" s="207">
        <v>44955</v>
      </c>
      <c r="D10" s="192"/>
      <c r="E10" s="192"/>
      <c r="F10" s="192" t="s">
        <v>202</v>
      </c>
      <c r="G10" s="192"/>
      <c r="H10" s="192"/>
      <c r="I10" s="192"/>
      <c r="J10" s="208">
        <f>'Simple Acquire'!J10</f>
        <v>2487</v>
      </c>
      <c r="K10" s="192"/>
      <c r="L10" s="192"/>
      <c r="M10" s="192"/>
      <c r="N10" s="192"/>
      <c r="O10" s="192"/>
    </row>
    <row r="11" spans="1:15" x14ac:dyDescent="0.2">
      <c r="A11" s="192"/>
      <c r="B11" s="192" t="s">
        <v>11</v>
      </c>
      <c r="C11" s="577">
        <v>1</v>
      </c>
      <c r="D11" s="192"/>
      <c r="E11" s="192"/>
      <c r="F11" s="192" t="s">
        <v>203</v>
      </c>
      <c r="G11" s="192"/>
      <c r="H11" s="192"/>
      <c r="I11" s="192"/>
      <c r="J11" s="210">
        <f>SUM(J8:J10)</f>
        <v>2507</v>
      </c>
      <c r="K11" s="192"/>
      <c r="L11" s="192"/>
      <c r="M11" s="192"/>
      <c r="N11" s="192"/>
      <c r="O11" s="192"/>
    </row>
    <row r="12" spans="1:15" x14ac:dyDescent="0.2">
      <c r="A12" s="192"/>
      <c r="B12" s="192" t="s">
        <v>343</v>
      </c>
      <c r="C12" s="209" t="s">
        <v>9</v>
      </c>
      <c r="D12" s="192" t="s">
        <v>10</v>
      </c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</row>
    <row r="13" spans="1:15" x14ac:dyDescent="0.2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</row>
    <row r="14" spans="1:15" x14ac:dyDescent="0.2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</row>
    <row r="15" spans="1:15" x14ac:dyDescent="0.2">
      <c r="A15" s="192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</row>
    <row r="16" spans="1:15" x14ac:dyDescent="0.2">
      <c r="A16" s="192"/>
      <c r="B16" s="200" t="s">
        <v>204</v>
      </c>
      <c r="C16" s="200"/>
      <c r="D16" s="192"/>
      <c r="E16" s="192"/>
      <c r="F16" s="200" t="s">
        <v>205</v>
      </c>
      <c r="G16" s="200"/>
      <c r="H16" s="200"/>
      <c r="I16" s="200"/>
      <c r="J16" s="200"/>
      <c r="K16" s="192"/>
      <c r="L16" s="192"/>
      <c r="M16" s="192"/>
      <c r="N16" s="192"/>
      <c r="O16" s="192"/>
    </row>
    <row r="17" spans="1:15" x14ac:dyDescent="0.2">
      <c r="A17" s="192"/>
      <c r="B17" s="192" t="s">
        <v>193</v>
      </c>
      <c r="C17" s="201" t="s">
        <v>206</v>
      </c>
      <c r="D17" s="192"/>
      <c r="E17" s="192"/>
      <c r="F17" s="198" t="s">
        <v>195</v>
      </c>
      <c r="G17" s="192"/>
      <c r="H17" s="202" t="s">
        <v>196</v>
      </c>
      <c r="I17" s="202" t="s">
        <v>197</v>
      </c>
      <c r="J17" s="202" t="s">
        <v>198</v>
      </c>
      <c r="K17" s="192"/>
      <c r="L17" s="192"/>
      <c r="M17" s="192"/>
      <c r="N17" s="192"/>
      <c r="O17" s="192"/>
    </row>
    <row r="18" spans="1:15" x14ac:dyDescent="0.2">
      <c r="A18" s="192"/>
      <c r="B18" s="192" t="s">
        <v>3</v>
      </c>
      <c r="C18" s="201" t="s">
        <v>179</v>
      </c>
      <c r="D18" s="192"/>
      <c r="E18" s="192"/>
      <c r="F18" s="192"/>
      <c r="G18" s="192"/>
      <c r="H18" s="192"/>
      <c r="I18" s="202" t="s">
        <v>199</v>
      </c>
      <c r="J18" s="202" t="s">
        <v>196</v>
      </c>
      <c r="K18" s="192"/>
      <c r="L18" s="192"/>
      <c r="M18" s="192"/>
      <c r="N18" s="192"/>
      <c r="O18" s="192"/>
    </row>
    <row r="19" spans="1:15" x14ac:dyDescent="0.2">
      <c r="A19" s="192"/>
      <c r="B19" s="192" t="s">
        <v>5</v>
      </c>
      <c r="C19" s="203">
        <v>109.45</v>
      </c>
      <c r="D19" s="192"/>
      <c r="E19" s="192"/>
      <c r="F19" s="192" t="s">
        <v>200</v>
      </c>
      <c r="G19" s="192"/>
      <c r="H19" s="204">
        <v>1</v>
      </c>
      <c r="I19" s="205"/>
      <c r="J19" s="211">
        <f>IF(I19&lt;C19,H19-(H19*I19)/C19,0)*C11</f>
        <v>1</v>
      </c>
      <c r="K19" s="192"/>
      <c r="L19" s="192"/>
      <c r="M19" s="192"/>
      <c r="N19" s="192"/>
      <c r="O19" s="192"/>
    </row>
    <row r="20" spans="1:15" x14ac:dyDescent="0.2">
      <c r="A20" s="192"/>
      <c r="B20" s="192" t="s">
        <v>6</v>
      </c>
      <c r="C20" s="207">
        <v>45173</v>
      </c>
      <c r="D20" s="192"/>
      <c r="E20" s="192"/>
      <c r="F20" s="192" t="s">
        <v>201</v>
      </c>
      <c r="G20" s="192"/>
      <c r="H20" s="192"/>
      <c r="I20" s="192"/>
      <c r="J20" s="204">
        <v>9</v>
      </c>
      <c r="K20" s="192"/>
      <c r="L20" s="192"/>
      <c r="M20" s="192"/>
      <c r="N20" s="192"/>
      <c r="O20" s="192"/>
    </row>
    <row r="21" spans="1:15" x14ac:dyDescent="0.2">
      <c r="A21" s="192"/>
      <c r="B21" s="192" t="s">
        <v>7</v>
      </c>
      <c r="C21" s="207">
        <v>44926</v>
      </c>
      <c r="D21" s="192"/>
      <c r="E21" s="192"/>
      <c r="F21" s="192" t="s">
        <v>202</v>
      </c>
      <c r="G21" s="192"/>
      <c r="H21" s="192"/>
      <c r="I21" s="192"/>
      <c r="J21" s="208">
        <f>'Simple Acquire'!J21</f>
        <v>1561</v>
      </c>
      <c r="K21" s="192"/>
      <c r="L21" s="192"/>
      <c r="M21" s="192"/>
      <c r="N21" s="192"/>
      <c r="O21" s="192"/>
    </row>
    <row r="22" spans="1:15" x14ac:dyDescent="0.2">
      <c r="A22" s="192"/>
      <c r="B22" s="192"/>
      <c r="C22" s="192"/>
      <c r="D22" s="192"/>
      <c r="E22" s="192"/>
      <c r="F22" s="192" t="s">
        <v>203</v>
      </c>
      <c r="G22" s="192"/>
      <c r="H22" s="192"/>
      <c r="I22" s="192"/>
      <c r="J22" s="210">
        <f>SUM(J19:J21)</f>
        <v>1571</v>
      </c>
      <c r="K22" s="192"/>
      <c r="L22" s="192"/>
      <c r="M22" s="192"/>
      <c r="N22" s="192"/>
      <c r="O22" s="192"/>
    </row>
    <row r="23" spans="1:15" x14ac:dyDescent="0.2">
      <c r="A23" s="192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</row>
    <row r="24" spans="1:15" x14ac:dyDescent="0.2">
      <c r="A24" s="199"/>
      <c r="B24" s="200" t="s">
        <v>207</v>
      </c>
      <c r="C24" s="200"/>
      <c r="D24" s="192"/>
      <c r="E24" s="192"/>
      <c r="F24" s="200" t="s">
        <v>208</v>
      </c>
      <c r="G24" s="200"/>
      <c r="H24" s="200"/>
      <c r="I24" s="200"/>
      <c r="J24" s="200"/>
      <c r="K24" s="192"/>
      <c r="L24" s="192"/>
      <c r="M24" s="192"/>
      <c r="N24" s="192"/>
      <c r="O24" s="192"/>
    </row>
    <row r="25" spans="1:15" x14ac:dyDescent="0.2">
      <c r="A25" s="199"/>
      <c r="B25" s="192" t="s">
        <v>209</v>
      </c>
      <c r="C25" s="212">
        <v>0.5</v>
      </c>
      <c r="D25" s="192"/>
      <c r="E25" s="192"/>
      <c r="F25" s="192" t="s">
        <v>5</v>
      </c>
      <c r="G25" s="192"/>
      <c r="H25" s="192"/>
      <c r="I25" s="192"/>
      <c r="J25" s="213">
        <f>C19</f>
        <v>109.45</v>
      </c>
      <c r="K25" s="192"/>
      <c r="L25" s="192"/>
      <c r="M25" s="192"/>
      <c r="N25" s="192"/>
      <c r="O25" s="192"/>
    </row>
    <row r="26" spans="1:15" x14ac:dyDescent="0.2">
      <c r="A26" s="199"/>
      <c r="B26" s="192" t="s">
        <v>210</v>
      </c>
      <c r="C26" s="214">
        <f>1-C25</f>
        <v>0.5</v>
      </c>
      <c r="D26" s="192"/>
      <c r="E26" s="192"/>
      <c r="F26" s="192" t="s">
        <v>211</v>
      </c>
      <c r="G26" s="192"/>
      <c r="H26" s="192"/>
      <c r="I26" s="192"/>
      <c r="J26" s="215">
        <v>0.3</v>
      </c>
      <c r="K26" s="192"/>
      <c r="L26" s="192"/>
      <c r="M26" s="192"/>
      <c r="N26" s="192"/>
      <c r="O26" s="192"/>
    </row>
    <row r="27" spans="1:15" x14ac:dyDescent="0.2">
      <c r="A27" s="199"/>
      <c r="B27" s="192" t="s">
        <v>212</v>
      </c>
      <c r="C27" s="209" t="s">
        <v>186</v>
      </c>
      <c r="D27" s="192" t="s">
        <v>213</v>
      </c>
      <c r="E27" s="192"/>
      <c r="F27" s="216" t="s">
        <v>214</v>
      </c>
      <c r="G27" s="216"/>
      <c r="H27" s="216"/>
      <c r="I27" s="216"/>
      <c r="J27" s="217">
        <f>J25*(1+J26)</f>
        <v>142.285</v>
      </c>
      <c r="K27" s="192"/>
      <c r="L27" s="192"/>
      <c r="M27" s="192"/>
      <c r="N27" s="192"/>
      <c r="O27" s="192"/>
    </row>
    <row r="28" spans="1:15" x14ac:dyDescent="0.2">
      <c r="A28" s="192"/>
      <c r="B28" s="192"/>
      <c r="C28" s="218"/>
      <c r="D28" s="192"/>
      <c r="E28" s="192"/>
      <c r="F28" s="192" t="s">
        <v>203</v>
      </c>
      <c r="G28" s="192"/>
      <c r="H28" s="192"/>
      <c r="I28" s="192"/>
      <c r="J28" s="219">
        <f>J22</f>
        <v>1571</v>
      </c>
      <c r="K28" s="192"/>
      <c r="L28" s="192"/>
      <c r="M28" s="192"/>
      <c r="N28" s="192"/>
      <c r="O28" s="192"/>
    </row>
    <row r="29" spans="1:15" x14ac:dyDescent="0.2">
      <c r="A29" s="192"/>
      <c r="B29" s="192" t="s">
        <v>215</v>
      </c>
      <c r="C29" s="220">
        <v>6</v>
      </c>
      <c r="D29" s="192"/>
      <c r="E29" s="192"/>
      <c r="F29" s="216" t="s">
        <v>216</v>
      </c>
      <c r="G29" s="216"/>
      <c r="H29" s="216"/>
      <c r="I29" s="192"/>
      <c r="J29" s="221">
        <f>J27*J28</f>
        <v>223529.73499999999</v>
      </c>
      <c r="K29" s="192"/>
      <c r="L29" s="192"/>
      <c r="M29" s="192"/>
      <c r="N29" s="192"/>
      <c r="O29" s="192"/>
    </row>
    <row r="30" spans="1:15" x14ac:dyDescent="0.2">
      <c r="A30" s="192"/>
      <c r="B30" s="192"/>
      <c r="C30" s="192"/>
      <c r="D30" s="192"/>
      <c r="E30" s="192"/>
      <c r="F30" s="222" t="s">
        <v>217</v>
      </c>
      <c r="G30" s="222"/>
      <c r="H30" s="222"/>
      <c r="I30" s="192"/>
      <c r="J30" s="223">
        <f>'Simple Acquire'!J30</f>
        <v>2467</v>
      </c>
      <c r="K30" s="192"/>
      <c r="L30" s="192"/>
      <c r="M30" s="192"/>
      <c r="N30" s="192"/>
      <c r="O30" s="192"/>
    </row>
    <row r="31" spans="1:15" x14ac:dyDescent="0.2">
      <c r="A31" s="192"/>
      <c r="B31" s="192" t="s">
        <v>218</v>
      </c>
      <c r="C31" s="224">
        <v>2000</v>
      </c>
      <c r="D31" s="192"/>
      <c r="E31" s="192"/>
      <c r="F31" s="222" t="s">
        <v>219</v>
      </c>
      <c r="G31" s="222"/>
      <c r="H31" s="222"/>
      <c r="I31" s="192"/>
      <c r="J31" s="223">
        <f>'Simple Acquire'!J31</f>
        <v>-5855</v>
      </c>
      <c r="K31" s="192"/>
      <c r="L31" s="192"/>
      <c r="M31" s="192"/>
      <c r="N31" s="192"/>
      <c r="O31" s="192"/>
    </row>
    <row r="32" spans="1:15" x14ac:dyDescent="0.2">
      <c r="A32" s="192"/>
      <c r="B32" s="192" t="s">
        <v>220</v>
      </c>
      <c r="C32" s="225">
        <f>'Simple Acquire'!C32</f>
        <v>3389</v>
      </c>
      <c r="D32" s="192"/>
      <c r="E32" s="192"/>
      <c r="F32" s="216" t="s">
        <v>221</v>
      </c>
      <c r="G32" s="216"/>
      <c r="H32" s="216"/>
      <c r="I32" s="192"/>
      <c r="J32" s="226">
        <f>SUM(J29:J31)</f>
        <v>220141.73499999999</v>
      </c>
      <c r="K32" s="192"/>
      <c r="L32" s="192"/>
      <c r="M32" s="192"/>
      <c r="N32" s="192"/>
      <c r="O32" s="192"/>
    </row>
    <row r="33" spans="1:15" x14ac:dyDescent="0.2">
      <c r="A33" s="192"/>
      <c r="B33" s="192" t="s">
        <v>222</v>
      </c>
      <c r="C33" s="225">
        <f>'Simple Acquire'!C33</f>
        <v>5855</v>
      </c>
      <c r="D33" s="192"/>
      <c r="E33" s="192"/>
      <c r="F33" s="216"/>
      <c r="G33" s="216"/>
      <c r="H33" s="216"/>
      <c r="I33" s="192"/>
      <c r="J33" s="221"/>
      <c r="K33" s="192"/>
      <c r="L33" s="192"/>
      <c r="M33" s="192"/>
      <c r="N33" s="192"/>
      <c r="O33" s="192"/>
    </row>
    <row r="34" spans="1:15" x14ac:dyDescent="0.2">
      <c r="A34" s="192"/>
      <c r="B34" s="192"/>
      <c r="C34" s="225"/>
      <c r="D34" s="192"/>
      <c r="E34" s="192"/>
      <c r="F34" s="192" t="s">
        <v>223</v>
      </c>
      <c r="G34" s="192"/>
      <c r="H34" s="192"/>
      <c r="I34" s="192"/>
      <c r="J34" s="218">
        <f>'Simple Acquire'!J34</f>
        <v>29.272603058470466</v>
      </c>
      <c r="K34" s="192"/>
      <c r="L34" s="192"/>
      <c r="M34" s="192"/>
      <c r="N34" s="192"/>
      <c r="O34" s="192"/>
    </row>
    <row r="35" spans="1:15" x14ac:dyDescent="0.2">
      <c r="A35" s="192"/>
      <c r="B35" s="192" t="s">
        <v>224</v>
      </c>
      <c r="C35" s="227">
        <f>'Simple Acquire'!C35</f>
        <v>-4.4726142071274816E-2</v>
      </c>
      <c r="D35" s="192"/>
      <c r="E35" s="192"/>
      <c r="F35" s="192" t="s">
        <v>225</v>
      </c>
      <c r="G35" s="216"/>
      <c r="H35" s="216"/>
      <c r="I35" s="192"/>
      <c r="J35" s="218">
        <f ca="1">'Simple Acquire'!J35</f>
        <v>56.771867870543851</v>
      </c>
      <c r="K35" s="192"/>
      <c r="L35" s="192"/>
      <c r="M35" s="192"/>
      <c r="N35" s="192"/>
      <c r="O35" s="192"/>
    </row>
    <row r="36" spans="1:15" x14ac:dyDescent="0.2">
      <c r="A36" s="192"/>
      <c r="B36" s="192" t="s">
        <v>226</v>
      </c>
      <c r="C36" s="227">
        <f>'Simple Acquire'!C36</f>
        <v>-0.11486486486486487</v>
      </c>
      <c r="D36" s="192"/>
      <c r="E36" s="192"/>
      <c r="F36" s="216"/>
      <c r="G36" s="216"/>
      <c r="H36" s="216"/>
      <c r="I36" s="192"/>
      <c r="J36" s="221"/>
      <c r="K36" s="192"/>
      <c r="L36" s="192"/>
      <c r="M36" s="192"/>
      <c r="N36" s="192"/>
      <c r="O36" s="192"/>
    </row>
    <row r="37" spans="1:15" x14ac:dyDescent="0.2">
      <c r="A37" s="192"/>
      <c r="B37" s="192"/>
      <c r="C37" s="192"/>
      <c r="D37" s="192"/>
      <c r="E37" s="192"/>
      <c r="F37" s="192"/>
      <c r="G37" s="192"/>
      <c r="H37" s="192"/>
      <c r="I37" s="192"/>
      <c r="J37" s="192"/>
      <c r="K37" s="192"/>
      <c r="L37" s="192"/>
      <c r="M37" s="192"/>
      <c r="N37" s="192"/>
      <c r="O37" s="192"/>
    </row>
    <row r="38" spans="1:15" x14ac:dyDescent="0.2">
      <c r="A38" s="192"/>
      <c r="B38" s="192" t="s">
        <v>229</v>
      </c>
      <c r="C38" s="224">
        <v>100</v>
      </c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</row>
    <row r="39" spans="1:15" x14ac:dyDescent="0.2">
      <c r="A39" s="192"/>
      <c r="B39" s="192"/>
      <c r="C39" s="192"/>
      <c r="D39" s="192"/>
      <c r="E39" s="192"/>
      <c r="F39" s="192"/>
      <c r="G39" s="216"/>
      <c r="H39" s="216"/>
      <c r="I39" s="192"/>
      <c r="J39" s="218"/>
      <c r="K39" s="192"/>
      <c r="L39" s="192"/>
      <c r="M39" s="192"/>
      <c r="N39" s="192"/>
      <c r="O39" s="192"/>
    </row>
    <row r="40" spans="1:15" x14ac:dyDescent="0.2">
      <c r="A40" s="228" t="s">
        <v>183</v>
      </c>
      <c r="B40" s="229" t="s">
        <v>230</v>
      </c>
      <c r="C40" s="230" t="s">
        <v>231</v>
      </c>
      <c r="D40" s="230" t="s">
        <v>232</v>
      </c>
      <c r="E40" s="192"/>
      <c r="F40" s="229" t="s">
        <v>233</v>
      </c>
      <c r="G40" s="200"/>
      <c r="H40" s="231" t="s">
        <v>234</v>
      </c>
      <c r="I40" s="230" t="s">
        <v>231</v>
      </c>
      <c r="J40" s="230" t="s">
        <v>232</v>
      </c>
      <c r="K40" s="192"/>
      <c r="L40" s="192"/>
      <c r="M40" s="192"/>
      <c r="N40" s="192"/>
      <c r="O40" s="192"/>
    </row>
    <row r="41" spans="1:15" x14ac:dyDescent="0.2">
      <c r="A41" s="192"/>
      <c r="B41" s="192" t="s">
        <v>235</v>
      </c>
      <c r="C41" s="232">
        <f>J29</f>
        <v>223529.73499999999</v>
      </c>
      <c r="D41" s="233">
        <f ca="1">C41/$C$45</f>
        <v>0.97906258816015468</v>
      </c>
      <c r="E41" s="192"/>
      <c r="F41" s="192" t="s">
        <v>236</v>
      </c>
      <c r="G41" s="192"/>
      <c r="H41" s="192"/>
      <c r="I41" s="234">
        <f>MAX(C32+C33-C31,0)</f>
        <v>7244</v>
      </c>
      <c r="J41" s="233">
        <f ca="1">I41/$I$46</f>
        <v>3.1728796120266328E-2</v>
      </c>
      <c r="K41" s="192"/>
      <c r="L41" s="192"/>
      <c r="M41" s="192"/>
      <c r="N41" s="192"/>
      <c r="O41" s="192"/>
    </row>
    <row r="42" spans="1:15" x14ac:dyDescent="0.2">
      <c r="A42" s="192"/>
      <c r="B42" s="192" t="s">
        <v>237</v>
      </c>
      <c r="C42" s="235">
        <f>J30</f>
        <v>2467</v>
      </c>
      <c r="D42" s="233">
        <f ca="1">C42/$C$45</f>
        <v>1.0805485923343048E-2</v>
      </c>
      <c r="E42" s="192"/>
      <c r="F42" s="192" t="s">
        <v>238</v>
      </c>
      <c r="G42" s="192"/>
      <c r="H42" s="236">
        <f>I42/$G$140</f>
        <v>0.16849479603566572</v>
      </c>
      <c r="I42" s="235">
        <f>C42</f>
        <v>2467</v>
      </c>
      <c r="J42" s="233">
        <f ca="1">I42/$I$46</f>
        <v>1.0805485923343048E-2</v>
      </c>
      <c r="K42" s="192"/>
      <c r="L42" s="192"/>
      <c r="M42" s="192"/>
      <c r="N42" s="192"/>
      <c r="O42" s="192"/>
    </row>
    <row r="43" spans="1:15" x14ac:dyDescent="0.2">
      <c r="A43" s="192"/>
      <c r="B43" s="192" t="s">
        <v>239</v>
      </c>
      <c r="C43" s="235">
        <f ca="1">SUM(L52:L56)</f>
        <v>2213.2195454545463</v>
      </c>
      <c r="D43" s="233">
        <f ca="1">C43/$C$45</f>
        <v>9.6939248656979313E-3</v>
      </c>
      <c r="E43" s="192"/>
      <c r="F43" s="192" t="str">
        <f>B52</f>
        <v>Revolver</v>
      </c>
      <c r="G43" s="192"/>
      <c r="H43" s="236">
        <f>I43/$G$140</f>
        <v>0</v>
      </c>
      <c r="I43" s="235">
        <f>D52</f>
        <v>0</v>
      </c>
      <c r="J43" s="233">
        <f ca="1">I43/$I$46</f>
        <v>0</v>
      </c>
      <c r="K43" s="192"/>
      <c r="L43" s="192"/>
      <c r="M43" s="192"/>
      <c r="N43" s="192"/>
      <c r="O43" s="192"/>
    </row>
    <row r="44" spans="1:15" x14ac:dyDescent="0.2">
      <c r="A44" s="192"/>
      <c r="B44" s="192" t="s">
        <v>229</v>
      </c>
      <c r="C44" s="235">
        <f>C38+L77</f>
        <v>100</v>
      </c>
      <c r="D44" s="233">
        <f ca="1">C44/$C$45</f>
        <v>4.3800105080433918E-4</v>
      </c>
      <c r="E44" s="192"/>
      <c r="F44" s="192" t="str">
        <f>B53</f>
        <v xml:space="preserve">New Term Loan </v>
      </c>
      <c r="G44" s="192"/>
      <c r="H44" s="236">
        <f ca="1">I44/$G$140</f>
        <v>7.3019632385658184</v>
      </c>
      <c r="I44" s="235">
        <f ca="1">D53</f>
        <v>106910.97727272726</v>
      </c>
      <c r="J44" s="233">
        <f ca="1">I44/$I$46</f>
        <v>0.46827120387973364</v>
      </c>
      <c r="K44" s="192"/>
      <c r="L44" s="192"/>
      <c r="M44" s="192"/>
      <c r="N44" s="192"/>
      <c r="O44" s="192"/>
    </row>
    <row r="45" spans="1:15" x14ac:dyDescent="0.2">
      <c r="A45" s="228" t="s">
        <v>183</v>
      </c>
      <c r="B45" s="216" t="s">
        <v>240</v>
      </c>
      <c r="C45" s="226">
        <f ca="1">SUM(C41:C44)</f>
        <v>228309.95454545453</v>
      </c>
      <c r="D45" s="237">
        <f ca="1">SUM(D41:D44)</f>
        <v>1</v>
      </c>
      <c r="E45" s="192"/>
      <c r="F45" s="192" t="s">
        <v>241</v>
      </c>
      <c r="G45" s="192"/>
      <c r="H45" s="192"/>
      <c r="I45" s="235">
        <f ca="1">C45-SUM(I41:I44)</f>
        <v>111687.97727272726</v>
      </c>
      <c r="J45" s="233">
        <f ca="1">I45/$I$46</f>
        <v>0.48919451407665693</v>
      </c>
      <c r="K45" s="192"/>
      <c r="L45" s="192"/>
      <c r="M45" s="192"/>
      <c r="N45" s="192"/>
      <c r="O45" s="192"/>
    </row>
    <row r="46" spans="1:15" x14ac:dyDescent="0.2">
      <c r="A46" s="192"/>
      <c r="B46" s="192"/>
      <c r="C46" s="192"/>
      <c r="D46" s="192"/>
      <c r="E46" s="192"/>
      <c r="F46" s="216" t="s">
        <v>242</v>
      </c>
      <c r="G46" s="192"/>
      <c r="H46" s="192"/>
      <c r="I46" s="226">
        <f ca="1">SUM(I41:I45)</f>
        <v>228309.95454545453</v>
      </c>
      <c r="J46" s="238">
        <f ca="1">SUM(J41:J45)</f>
        <v>1</v>
      </c>
      <c r="K46" s="192"/>
      <c r="L46" s="192"/>
      <c r="M46" s="192"/>
      <c r="N46" s="192"/>
      <c r="O46" s="192"/>
    </row>
    <row r="47" spans="1:15" x14ac:dyDescent="0.2">
      <c r="A47" s="192"/>
      <c r="B47" s="192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</row>
    <row r="48" spans="1:15" x14ac:dyDescent="0.2">
      <c r="A48" s="228"/>
      <c r="B48" s="200" t="s">
        <v>243</v>
      </c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192"/>
      <c r="N48" s="192"/>
      <c r="O48" s="192"/>
    </row>
    <row r="49" spans="1:15" x14ac:dyDescent="0.2">
      <c r="A49" s="199"/>
      <c r="B49" s="239"/>
      <c r="C49" s="239"/>
      <c r="D49" s="239"/>
      <c r="E49" s="239"/>
      <c r="F49" s="240" t="s">
        <v>244</v>
      </c>
      <c r="G49" s="239"/>
      <c r="H49" s="239"/>
      <c r="I49" s="239"/>
      <c r="J49" s="239"/>
      <c r="K49" s="192"/>
      <c r="L49" s="192"/>
      <c r="M49" s="192"/>
      <c r="N49" s="192"/>
      <c r="O49" s="192"/>
    </row>
    <row r="50" spans="1:15" x14ac:dyDescent="0.2">
      <c r="A50" s="192"/>
      <c r="B50" s="239"/>
      <c r="C50" s="240" t="s">
        <v>245</v>
      </c>
      <c r="D50" s="239"/>
      <c r="E50" s="240" t="s">
        <v>246</v>
      </c>
      <c r="F50" s="240" t="s">
        <v>247</v>
      </c>
      <c r="G50" s="192"/>
      <c r="H50" s="192"/>
      <c r="I50" s="192"/>
      <c r="J50" s="192"/>
      <c r="K50" s="192"/>
      <c r="L50" s="192"/>
      <c r="M50" s="192"/>
      <c r="N50" s="192"/>
      <c r="O50" s="192"/>
    </row>
    <row r="51" spans="1:15" x14ac:dyDescent="0.2">
      <c r="A51" s="192"/>
      <c r="B51" s="241" t="s">
        <v>248</v>
      </c>
      <c r="C51" s="240" t="s">
        <v>249</v>
      </c>
      <c r="D51" s="240" t="s">
        <v>231</v>
      </c>
      <c r="E51" s="240" t="s">
        <v>23</v>
      </c>
      <c r="F51" s="240" t="s">
        <v>250</v>
      </c>
      <c r="G51" s="240" t="s">
        <v>251</v>
      </c>
      <c r="H51" s="240" t="s">
        <v>252</v>
      </c>
      <c r="I51" s="240" t="s">
        <v>253</v>
      </c>
      <c r="J51" s="240" t="s">
        <v>254</v>
      </c>
      <c r="K51" s="240" t="s">
        <v>255</v>
      </c>
      <c r="L51" s="240" t="s">
        <v>256</v>
      </c>
      <c r="M51" s="192"/>
      <c r="N51" s="192"/>
      <c r="O51" s="192"/>
    </row>
    <row r="52" spans="1:15" x14ac:dyDescent="0.2">
      <c r="A52" s="192"/>
      <c r="B52" s="192" t="s">
        <v>134</v>
      </c>
      <c r="C52" s="224">
        <v>7500</v>
      </c>
      <c r="D52" s="232"/>
      <c r="E52" s="236">
        <f>D52/$G$140</f>
        <v>0</v>
      </c>
      <c r="F52" s="242">
        <v>400</v>
      </c>
      <c r="G52" s="212">
        <v>0.01</v>
      </c>
      <c r="H52" s="243"/>
      <c r="I52" s="243"/>
      <c r="J52" s="244">
        <v>5</v>
      </c>
      <c r="K52" s="245">
        <v>0.01</v>
      </c>
      <c r="L52" s="232">
        <f>C52*K52+IF(ISBLANK(I52),0,C52*(1-I52/100))</f>
        <v>75</v>
      </c>
      <c r="M52" s="192"/>
      <c r="N52" s="192"/>
      <c r="O52" s="192"/>
    </row>
    <row r="53" spans="1:15" x14ac:dyDescent="0.2">
      <c r="A53" s="192"/>
      <c r="B53" s="192" t="s">
        <v>257</v>
      </c>
      <c r="C53" s="192"/>
      <c r="D53" s="235">
        <f ca="1">C26*C45-I41</f>
        <v>106910.97727272726</v>
      </c>
      <c r="E53" s="236">
        <f ca="1">D53/$G$140</f>
        <v>7.3019632385658184</v>
      </c>
      <c r="F53" s="242">
        <v>450</v>
      </c>
      <c r="G53" s="212">
        <v>0.01</v>
      </c>
      <c r="H53" s="243"/>
      <c r="I53" s="204">
        <v>99</v>
      </c>
      <c r="J53" s="244">
        <v>5</v>
      </c>
      <c r="K53" s="245">
        <v>0.01</v>
      </c>
      <c r="L53" s="235">
        <f ca="1">D53*K53+IF(ISBLANK(I53),0,D53*(1-I53/100))</f>
        <v>2138.2195454545463</v>
      </c>
      <c r="M53" s="192"/>
      <c r="N53" s="192"/>
      <c r="O53" s="192"/>
    </row>
    <row r="54" spans="1:15" x14ac:dyDescent="0.2">
      <c r="A54" s="192"/>
      <c r="B54" s="192" t="s">
        <v>258</v>
      </c>
      <c r="C54" s="192"/>
      <c r="D54" s="235">
        <f>NVDA!E79</f>
        <v>9703</v>
      </c>
      <c r="E54" s="236">
        <f>D54/$G$140</f>
        <v>0.66270977135551867</v>
      </c>
      <c r="F54" s="246">
        <v>2.4299999999999999E-2</v>
      </c>
      <c r="G54" s="212"/>
      <c r="H54" s="243"/>
      <c r="I54" s="204"/>
      <c r="J54" s="244"/>
      <c r="K54" s="245"/>
      <c r="L54" s="235"/>
      <c r="M54" s="192"/>
      <c r="N54" s="192"/>
      <c r="O54" s="192"/>
    </row>
    <row r="55" spans="1:15" x14ac:dyDescent="0.2">
      <c r="A55" s="192"/>
      <c r="B55" s="216" t="s">
        <v>259</v>
      </c>
      <c r="C55" s="216"/>
      <c r="D55" s="226">
        <f ca="1">SUM(D52:D54)</f>
        <v>116613.97727272726</v>
      </c>
      <c r="E55" s="247"/>
      <c r="F55" s="248"/>
      <c r="G55" s="249"/>
      <c r="H55" s="249"/>
      <c r="I55" s="250"/>
      <c r="J55" s="251"/>
      <c r="K55" s="252"/>
      <c r="L55" s="235"/>
      <c r="M55" s="192"/>
      <c r="N55" s="192"/>
      <c r="O55" s="192"/>
    </row>
    <row r="56" spans="1:15" x14ac:dyDescent="0.2">
      <c r="A56" s="228" t="s">
        <v>183</v>
      </c>
      <c r="B56" s="197" t="s">
        <v>260</v>
      </c>
      <c r="C56" s="197"/>
      <c r="D56" s="253">
        <f ca="1">D55/G140</f>
        <v>7.964673009921337</v>
      </c>
      <c r="E56" s="247"/>
      <c r="F56" s="248"/>
      <c r="G56" s="249"/>
      <c r="H56" s="248"/>
      <c r="I56" s="249"/>
      <c r="J56" s="251"/>
      <c r="K56" s="252"/>
      <c r="L56" s="235"/>
      <c r="M56" s="192"/>
      <c r="N56" s="192"/>
      <c r="O56" s="192"/>
    </row>
    <row r="57" spans="1:15" x14ac:dyDescent="0.2">
      <c r="A57" s="192"/>
      <c r="B57" s="197"/>
      <c r="C57" s="197"/>
      <c r="D57" s="253"/>
      <c r="E57" s="247"/>
      <c r="F57" s="248"/>
      <c r="G57" s="249"/>
      <c r="H57" s="248"/>
      <c r="I57" s="249"/>
      <c r="J57" s="251"/>
      <c r="K57" s="252"/>
      <c r="L57" s="235"/>
      <c r="M57" s="192"/>
      <c r="N57" s="192"/>
      <c r="O57" s="192"/>
    </row>
    <row r="58" spans="1:15" x14ac:dyDescent="0.2">
      <c r="A58" s="192"/>
      <c r="B58" s="200" t="s">
        <v>261</v>
      </c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192"/>
      <c r="N58" s="192"/>
      <c r="O58" s="192"/>
    </row>
    <row r="59" spans="1:15" x14ac:dyDescent="0.2">
      <c r="A59" s="192"/>
      <c r="B59" s="197"/>
      <c r="C59" s="197"/>
      <c r="D59" s="253"/>
      <c r="E59" s="247"/>
      <c r="F59" s="248"/>
      <c r="G59" s="249"/>
      <c r="H59" s="248"/>
      <c r="I59" s="249"/>
      <c r="J59" s="251"/>
      <c r="K59" s="252"/>
      <c r="L59" s="235"/>
      <c r="M59" s="192"/>
      <c r="N59" s="192"/>
      <c r="O59" s="192"/>
    </row>
    <row r="60" spans="1:15" x14ac:dyDescent="0.2">
      <c r="A60" s="192"/>
      <c r="B60" s="241" t="s">
        <v>262</v>
      </c>
      <c r="C60" s="197"/>
      <c r="D60" s="253"/>
      <c r="E60" s="247"/>
      <c r="F60" s="241" t="s">
        <v>263</v>
      </c>
      <c r="G60" s="249"/>
      <c r="H60" s="248"/>
      <c r="I60" s="249"/>
      <c r="J60" s="251"/>
      <c r="K60" s="252"/>
      <c r="L60" s="235"/>
      <c r="M60" s="192"/>
      <c r="N60" s="192"/>
      <c r="O60" s="192"/>
    </row>
    <row r="61" spans="1:15" x14ac:dyDescent="0.2">
      <c r="A61" s="192"/>
      <c r="B61" s="254" t="s">
        <v>264</v>
      </c>
      <c r="C61" s="197"/>
      <c r="D61" s="253"/>
      <c r="E61" s="247"/>
      <c r="F61" s="228" t="s">
        <v>265</v>
      </c>
      <c r="G61" s="255"/>
      <c r="H61" s="256"/>
      <c r="I61" s="257">
        <f>D93</f>
        <v>67580</v>
      </c>
      <c r="J61" s="258"/>
      <c r="K61" s="259"/>
      <c r="L61" s="260"/>
      <c r="M61" s="192"/>
      <c r="N61" s="192"/>
      <c r="O61" s="192"/>
    </row>
    <row r="62" spans="1:15" x14ac:dyDescent="0.2">
      <c r="A62" s="192"/>
      <c r="B62" s="192" t="s">
        <v>266</v>
      </c>
      <c r="C62" s="234">
        <f>D87</f>
        <v>1513</v>
      </c>
      <c r="D62" s="253"/>
      <c r="E62" s="247"/>
      <c r="F62" s="256" t="s">
        <v>267</v>
      </c>
      <c r="G62" s="255"/>
      <c r="H62" s="256"/>
      <c r="I62" s="257">
        <f>C64</f>
        <v>302.60000000000002</v>
      </c>
      <c r="J62" s="258"/>
      <c r="K62" s="259"/>
      <c r="L62" s="260"/>
      <c r="M62" s="192"/>
      <c r="N62" s="192"/>
      <c r="O62" s="192"/>
    </row>
    <row r="63" spans="1:15" x14ac:dyDescent="0.2">
      <c r="A63" s="192"/>
      <c r="B63" s="192" t="s">
        <v>268</v>
      </c>
      <c r="C63" s="212">
        <v>0.2</v>
      </c>
      <c r="D63" s="253"/>
      <c r="E63" s="247"/>
      <c r="F63" s="256" t="s">
        <v>269</v>
      </c>
      <c r="G63" s="255"/>
      <c r="H63" s="256"/>
      <c r="I63" s="257">
        <f>C72</f>
        <v>36177</v>
      </c>
      <c r="J63" s="258"/>
      <c r="K63" s="259"/>
      <c r="L63" s="260"/>
      <c r="M63" s="192"/>
      <c r="N63" s="192"/>
      <c r="O63" s="192"/>
    </row>
    <row r="64" spans="1:15" x14ac:dyDescent="0.2">
      <c r="A64" s="192"/>
      <c r="B64" s="192" t="s">
        <v>270</v>
      </c>
      <c r="C64" s="234">
        <f>C62*C63</f>
        <v>302.60000000000002</v>
      </c>
      <c r="D64" s="253"/>
      <c r="E64" s="247"/>
      <c r="F64" s="256" t="s">
        <v>271</v>
      </c>
      <c r="G64" s="255"/>
      <c r="H64" s="256"/>
      <c r="I64" s="257">
        <f>-D89</f>
        <v>-24177</v>
      </c>
      <c r="J64" s="258"/>
      <c r="K64" s="259"/>
      <c r="L64" s="260"/>
      <c r="M64" s="192"/>
      <c r="N64" s="192"/>
      <c r="O64" s="192"/>
    </row>
    <row r="65" spans="1:15" x14ac:dyDescent="0.2">
      <c r="A65" s="192"/>
      <c r="B65" s="192" t="s">
        <v>272</v>
      </c>
      <c r="C65" s="261">
        <v>8</v>
      </c>
      <c r="D65" s="253"/>
      <c r="E65" s="247"/>
      <c r="F65" s="262" t="s">
        <v>273</v>
      </c>
      <c r="G65" s="263"/>
      <c r="H65" s="262"/>
      <c r="I65" s="264">
        <f>IF(C27="Stock sale",0,-D90)</f>
        <v>0</v>
      </c>
      <c r="J65" s="258"/>
      <c r="K65" s="259"/>
      <c r="L65" s="260"/>
      <c r="M65" s="192"/>
      <c r="N65" s="192"/>
      <c r="O65" s="192"/>
    </row>
    <row r="66" spans="1:15" x14ac:dyDescent="0.2">
      <c r="A66" s="192"/>
      <c r="B66" s="192" t="s">
        <v>274</v>
      </c>
      <c r="C66" s="234">
        <f>C64/C65</f>
        <v>37.825000000000003</v>
      </c>
      <c r="D66" s="253"/>
      <c r="E66" s="247"/>
      <c r="F66" s="265" t="s">
        <v>275</v>
      </c>
      <c r="G66" s="255"/>
      <c r="H66" s="256"/>
      <c r="I66" s="266">
        <f>SUM(I61:I65)</f>
        <v>79882.600000000006</v>
      </c>
      <c r="J66" s="258"/>
      <c r="K66" s="259"/>
      <c r="L66" s="260"/>
      <c r="M66" s="192"/>
      <c r="N66" s="192"/>
      <c r="O66" s="192"/>
    </row>
    <row r="67" spans="1:15" x14ac:dyDescent="0.2">
      <c r="A67" s="192"/>
      <c r="B67" s="192" t="s">
        <v>276</v>
      </c>
      <c r="C67" s="234">
        <f>IF(C27="Stock sale",C35*C64,0)</f>
        <v>-13.534130590767761</v>
      </c>
      <c r="D67" s="253"/>
      <c r="E67" s="247"/>
      <c r="F67" s="256"/>
      <c r="G67" s="255"/>
      <c r="H67" s="256"/>
      <c r="I67" s="255"/>
      <c r="J67" s="258"/>
      <c r="K67" s="259"/>
      <c r="L67" s="260"/>
      <c r="M67" s="192"/>
      <c r="N67" s="192"/>
      <c r="O67" s="192"/>
    </row>
    <row r="68" spans="1:15" x14ac:dyDescent="0.2">
      <c r="A68" s="192"/>
      <c r="B68" s="197"/>
      <c r="C68" s="197"/>
      <c r="D68" s="253"/>
      <c r="E68" s="247"/>
      <c r="F68" s="256"/>
      <c r="G68" s="255"/>
      <c r="H68" s="256"/>
      <c r="I68" s="255"/>
      <c r="J68" s="258"/>
      <c r="K68" s="259"/>
      <c r="L68" s="260"/>
      <c r="M68" s="192"/>
      <c r="N68" s="192"/>
      <c r="O68" s="192"/>
    </row>
    <row r="69" spans="1:15" x14ac:dyDescent="0.2">
      <c r="A69" s="192"/>
      <c r="B69" s="254" t="s">
        <v>277</v>
      </c>
      <c r="C69" s="197"/>
      <c r="D69" s="253"/>
      <c r="E69" s="247"/>
      <c r="F69" s="228" t="s">
        <v>278</v>
      </c>
      <c r="G69" s="255"/>
      <c r="H69" s="256"/>
      <c r="I69" s="257">
        <f>D106</f>
        <v>11130</v>
      </c>
      <c r="J69" s="258"/>
      <c r="K69" s="259"/>
      <c r="L69" s="260"/>
      <c r="M69" s="192"/>
      <c r="N69" s="192"/>
      <c r="O69" s="192"/>
    </row>
    <row r="70" spans="1:15" x14ac:dyDescent="0.2">
      <c r="A70" s="192"/>
      <c r="B70" s="192" t="s">
        <v>279</v>
      </c>
      <c r="C70" s="234">
        <f>D88</f>
        <v>24118</v>
      </c>
      <c r="D70" s="253"/>
      <c r="E70" s="247"/>
      <c r="F70" s="192" t="s">
        <v>280</v>
      </c>
      <c r="G70" s="192"/>
      <c r="H70" s="192"/>
      <c r="I70" s="257">
        <f>IF(C27="Stock sale",0,-D103)</f>
        <v>0</v>
      </c>
      <c r="J70" s="258"/>
      <c r="K70" s="259"/>
      <c r="L70" s="260"/>
      <c r="M70" s="192"/>
      <c r="N70" s="192"/>
      <c r="O70" s="192"/>
    </row>
    <row r="71" spans="1:15" x14ac:dyDescent="0.2">
      <c r="A71" s="192"/>
      <c r="B71" s="192" t="s">
        <v>268</v>
      </c>
      <c r="C71" s="212">
        <v>1.5</v>
      </c>
      <c r="D71" s="253"/>
      <c r="E71" s="247"/>
      <c r="F71" s="262" t="s">
        <v>281</v>
      </c>
      <c r="G71" s="263"/>
      <c r="H71" s="262"/>
      <c r="I71" s="264">
        <f>C67+C75</f>
        <v>-1631.5917723032767</v>
      </c>
      <c r="J71" s="258"/>
      <c r="K71" s="259"/>
      <c r="L71" s="260"/>
      <c r="M71" s="192"/>
      <c r="N71" s="192"/>
      <c r="O71" s="192"/>
    </row>
    <row r="72" spans="1:15" x14ac:dyDescent="0.2">
      <c r="A72" s="192"/>
      <c r="B72" s="192" t="s">
        <v>270</v>
      </c>
      <c r="C72" s="234">
        <f>C70*C71</f>
        <v>36177</v>
      </c>
      <c r="D72" s="253"/>
      <c r="E72" s="247"/>
      <c r="F72" s="265" t="s">
        <v>282</v>
      </c>
      <c r="G72" s="255"/>
      <c r="H72" s="256"/>
      <c r="I72" s="266">
        <f>SUM(I69:I71)</f>
        <v>9498.4082276967238</v>
      </c>
      <c r="J72" s="258"/>
      <c r="K72" s="259"/>
      <c r="L72" s="260"/>
      <c r="M72" s="192"/>
      <c r="N72" s="192"/>
      <c r="O72" s="192"/>
    </row>
    <row r="73" spans="1:15" x14ac:dyDescent="0.2">
      <c r="A73" s="192"/>
      <c r="B73" s="192" t="s">
        <v>272</v>
      </c>
      <c r="C73" s="261">
        <v>15</v>
      </c>
      <c r="D73" s="253"/>
      <c r="E73" s="247"/>
      <c r="F73" s="256"/>
      <c r="G73" s="255"/>
      <c r="H73" s="256"/>
      <c r="I73" s="255"/>
      <c r="J73" s="258"/>
      <c r="K73" s="259"/>
      <c r="L73" s="260"/>
      <c r="M73" s="192"/>
      <c r="N73" s="192"/>
      <c r="O73" s="192"/>
    </row>
    <row r="74" spans="1:15" x14ac:dyDescent="0.2">
      <c r="A74" s="192"/>
      <c r="B74" s="192" t="s">
        <v>283</v>
      </c>
      <c r="C74" s="234">
        <f>C72/C73</f>
        <v>2411.8000000000002</v>
      </c>
      <c r="D74" s="253"/>
      <c r="E74" s="247"/>
      <c r="F74" s="192" t="s">
        <v>284</v>
      </c>
      <c r="G74" s="192"/>
      <c r="H74" s="192"/>
      <c r="I74" s="232">
        <f>J29</f>
        <v>223529.73499999999</v>
      </c>
      <c r="J74" s="258"/>
      <c r="K74" s="259"/>
      <c r="L74" s="260"/>
      <c r="M74" s="192"/>
      <c r="N74" s="192"/>
      <c r="O74" s="192"/>
    </row>
    <row r="75" spans="1:15" x14ac:dyDescent="0.2">
      <c r="A75" s="192"/>
      <c r="B75" s="192" t="s">
        <v>276</v>
      </c>
      <c r="C75" s="234">
        <f>IF(C27="Stock sale",C35*C72,0)</f>
        <v>-1618.0576417125089</v>
      </c>
      <c r="D75" s="253"/>
      <c r="E75" s="247"/>
      <c r="F75" s="267" t="s">
        <v>285</v>
      </c>
      <c r="G75" s="263"/>
      <c r="H75" s="262"/>
      <c r="I75" s="264">
        <f>I66-I72</f>
        <v>70384.191772303282</v>
      </c>
      <c r="J75" s="258"/>
      <c r="K75" s="259"/>
      <c r="L75" s="260"/>
      <c r="M75" s="192"/>
      <c r="N75" s="192"/>
      <c r="O75" s="192"/>
    </row>
    <row r="76" spans="1:15" x14ac:dyDescent="0.2">
      <c r="A76" s="228" t="s">
        <v>183</v>
      </c>
      <c r="B76" s="197"/>
      <c r="C76" s="197"/>
      <c r="D76" s="253"/>
      <c r="E76" s="247"/>
      <c r="F76" s="265" t="s">
        <v>286</v>
      </c>
      <c r="G76" s="255"/>
      <c r="H76" s="256"/>
      <c r="I76" s="266">
        <f>I74-I75</f>
        <v>153145.5432276967</v>
      </c>
      <c r="J76" s="251"/>
      <c r="K76" s="252"/>
      <c r="L76" s="235"/>
      <c r="M76" s="192"/>
      <c r="N76" s="192"/>
      <c r="O76" s="192"/>
    </row>
    <row r="77" spans="1:15" x14ac:dyDescent="0.2">
      <c r="A77" s="192"/>
      <c r="B77" s="192"/>
      <c r="C77" s="192"/>
      <c r="D77" s="235"/>
      <c r="E77" s="247"/>
      <c r="F77" s="248"/>
      <c r="G77" s="249"/>
      <c r="H77" s="248"/>
      <c r="I77" s="249"/>
      <c r="J77" s="249"/>
      <c r="K77" s="252"/>
      <c r="L77" s="235"/>
      <c r="M77" s="192"/>
      <c r="N77" s="192"/>
      <c r="O77" s="192"/>
    </row>
    <row r="78" spans="1:15" x14ac:dyDescent="0.2">
      <c r="A78" s="192"/>
      <c r="B78" s="200" t="s">
        <v>45</v>
      </c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192"/>
      <c r="N78" s="192"/>
      <c r="O78" s="192"/>
    </row>
    <row r="79" spans="1:15" ht="17" x14ac:dyDescent="0.3">
      <c r="A79" s="192"/>
      <c r="B79" s="192"/>
      <c r="C79" s="268" t="s">
        <v>191</v>
      </c>
      <c r="D79" s="269" t="s">
        <v>204</v>
      </c>
      <c r="E79" s="270" t="s">
        <v>287</v>
      </c>
      <c r="F79" s="271"/>
      <c r="G79" s="272"/>
      <c r="H79" s="273"/>
      <c r="I79" s="273"/>
      <c r="J79" s="273"/>
      <c r="K79" s="273"/>
      <c r="L79" s="273"/>
      <c r="M79" s="192"/>
      <c r="N79" s="192"/>
      <c r="O79" s="192"/>
    </row>
    <row r="80" spans="1:15" x14ac:dyDescent="0.2">
      <c r="A80" s="192"/>
      <c r="B80" s="192"/>
      <c r="C80" s="274">
        <f>YEAR(C21)</f>
        <v>2022</v>
      </c>
      <c r="D80" s="275">
        <f>YEAR(C21)</f>
        <v>2022</v>
      </c>
      <c r="E80" s="276" t="s">
        <v>288</v>
      </c>
      <c r="F80" s="277" t="s">
        <v>289</v>
      </c>
      <c r="G80" s="278" t="s">
        <v>290</v>
      </c>
      <c r="H80" s="279">
        <f>C80+1</f>
        <v>2023</v>
      </c>
      <c r="I80" s="279">
        <f>H80+1</f>
        <v>2024</v>
      </c>
      <c r="J80" s="279">
        <f>I80+1</f>
        <v>2025</v>
      </c>
      <c r="K80" s="279">
        <f>J80+1</f>
        <v>2026</v>
      </c>
      <c r="L80" s="279">
        <f>K80+1</f>
        <v>2027</v>
      </c>
      <c r="M80" s="192"/>
      <c r="N80" s="192"/>
      <c r="O80" s="192"/>
    </row>
    <row r="81" spans="1:15" x14ac:dyDescent="0.2">
      <c r="A81" s="192"/>
      <c r="B81" s="228" t="s">
        <v>291</v>
      </c>
      <c r="C81" s="225">
        <f>NVDA!E58</f>
        <v>3389</v>
      </c>
      <c r="D81" s="280">
        <f>AMD!E58</f>
        <v>5855</v>
      </c>
      <c r="E81" s="192"/>
      <c r="F81" s="281">
        <f>-I41</f>
        <v>-7244</v>
      </c>
      <c r="G81" s="282">
        <f>SUM(C81:F81)</f>
        <v>2000</v>
      </c>
      <c r="H81" s="232">
        <f ca="1">H219</f>
        <v>2000</v>
      </c>
      <c r="I81" s="283">
        <f ca="1">I219</f>
        <v>2000</v>
      </c>
      <c r="J81" s="283">
        <f ca="1">J219</f>
        <v>1999.999999969732</v>
      </c>
      <c r="K81" s="283">
        <f ca="1">K219</f>
        <v>1999.999974694867</v>
      </c>
      <c r="L81" s="283">
        <f ca="1">L219</f>
        <v>9274.3629314981335</v>
      </c>
      <c r="M81" s="192"/>
      <c r="N81" s="192"/>
      <c r="O81" s="192"/>
    </row>
    <row r="82" spans="1:15" x14ac:dyDescent="0.2">
      <c r="A82" s="192"/>
      <c r="B82" s="228" t="s">
        <v>292</v>
      </c>
      <c r="C82" s="223">
        <f>NVDA!E60</f>
        <v>3827</v>
      </c>
      <c r="D82" s="284">
        <f>AMD!E60</f>
        <v>4128</v>
      </c>
      <c r="E82" s="192"/>
      <c r="F82" s="285"/>
      <c r="G82" s="286">
        <f>SUM(C82:F82)</f>
        <v>7955</v>
      </c>
      <c r="H82" s="260">
        <f t="shared" ref="H82:L84" si="0">H177</f>
        <v>11885.175320336321</v>
      </c>
      <c r="I82" s="260">
        <f t="shared" si="0"/>
        <v>17539.816873301039</v>
      </c>
      <c r="J82" s="260">
        <f t="shared" si="0"/>
        <v>26068.258607668562</v>
      </c>
      <c r="K82" s="260">
        <f t="shared" si="0"/>
        <v>38395.817033109997</v>
      </c>
      <c r="L82" s="260">
        <f t="shared" si="0"/>
        <v>56925.861178772633</v>
      </c>
      <c r="M82" s="192"/>
      <c r="N82" s="192"/>
      <c r="O82" s="192"/>
    </row>
    <row r="83" spans="1:15" x14ac:dyDescent="0.2">
      <c r="A83" s="192"/>
      <c r="B83" s="228" t="s">
        <v>50</v>
      </c>
      <c r="C83" s="223">
        <f>NVDA!E61</f>
        <v>5159</v>
      </c>
      <c r="D83" s="284">
        <f>AMD!E61</f>
        <v>3771</v>
      </c>
      <c r="E83" s="192"/>
      <c r="F83" s="285"/>
      <c r="G83" s="286">
        <f>SUM(C83:F83)</f>
        <v>8930</v>
      </c>
      <c r="H83" s="260">
        <f t="shared" si="0"/>
        <v>18177.568709765063</v>
      </c>
      <c r="I83" s="260">
        <f t="shared" si="0"/>
        <v>27126.502261288028</v>
      </c>
      <c r="J83" s="260">
        <f t="shared" si="0"/>
        <v>40736.014204042083</v>
      </c>
      <c r="K83" s="260">
        <f t="shared" si="0"/>
        <v>60436.317121342472</v>
      </c>
      <c r="L83" s="260">
        <f t="shared" si="0"/>
        <v>90207.79027110996</v>
      </c>
      <c r="M83" s="192"/>
      <c r="N83" s="192"/>
      <c r="O83" s="192"/>
    </row>
    <row r="84" spans="1:15" x14ac:dyDescent="0.2">
      <c r="A84" s="192"/>
      <c r="B84" s="228" t="s">
        <v>293</v>
      </c>
      <c r="C84" s="223">
        <f>NVDA!E62+NVDA!E59</f>
        <v>10698</v>
      </c>
      <c r="D84" s="284">
        <f>AMD!E62+AMD!E59</f>
        <v>1265</v>
      </c>
      <c r="E84" s="287"/>
      <c r="F84" s="285"/>
      <c r="G84" s="288">
        <f>SUM(C84:F84)</f>
        <v>11963</v>
      </c>
      <c r="H84" s="289">
        <f>H179</f>
        <v>2456.5387192019934</v>
      </c>
      <c r="I84" s="289">
        <f t="shared" si="0"/>
        <v>3625.2926957881168</v>
      </c>
      <c r="J84" s="289">
        <f t="shared" si="0"/>
        <v>5388.0304569286218</v>
      </c>
      <c r="K84" s="289">
        <f t="shared" si="0"/>
        <v>7936.0050361092253</v>
      </c>
      <c r="L84" s="289">
        <f t="shared" si="0"/>
        <v>11765.967126315431</v>
      </c>
      <c r="M84" s="192"/>
      <c r="N84" s="192"/>
      <c r="O84" s="192"/>
    </row>
    <row r="85" spans="1:15" x14ac:dyDescent="0.2">
      <c r="A85" s="192"/>
      <c r="B85" s="228" t="s">
        <v>294</v>
      </c>
      <c r="C85" s="283">
        <f>SUM(C81:C84)</f>
        <v>23073</v>
      </c>
      <c r="D85" s="290">
        <f>SUM(D81:D84)</f>
        <v>15019</v>
      </c>
      <c r="E85" s="192"/>
      <c r="F85" s="290">
        <f>SUM(F81:F84)</f>
        <v>-7244</v>
      </c>
      <c r="G85" s="291">
        <f>SUM(G81:G84)</f>
        <v>30848</v>
      </c>
      <c r="H85" s="292">
        <f ca="1">SUM(H81:H84)</f>
        <v>34519.282749303376</v>
      </c>
      <c r="I85" s="292">
        <f t="shared" ref="I85:L85" ca="1" si="1">SUM(I81:I84)</f>
        <v>50291.61183037718</v>
      </c>
      <c r="J85" s="292">
        <f t="shared" ca="1" si="1"/>
        <v>74192.303268609001</v>
      </c>
      <c r="K85" s="292">
        <f t="shared" ca="1" si="1"/>
        <v>108768.13916525657</v>
      </c>
      <c r="L85" s="292">
        <f t="shared" ca="1" si="1"/>
        <v>168173.98150769615</v>
      </c>
      <c r="M85" s="192"/>
      <c r="N85" s="192"/>
      <c r="O85" s="192"/>
    </row>
    <row r="86" spans="1:15" x14ac:dyDescent="0.2">
      <c r="A86" s="192"/>
      <c r="B86" s="228"/>
      <c r="C86" s="235"/>
      <c r="D86" s="293"/>
      <c r="E86" s="192"/>
      <c r="F86" s="285"/>
      <c r="G86" s="294"/>
      <c r="H86" s="235"/>
      <c r="I86" s="235"/>
      <c r="J86" s="235"/>
      <c r="K86" s="235"/>
      <c r="L86" s="235"/>
      <c r="M86" s="192"/>
      <c r="N86" s="192"/>
      <c r="O86" s="192"/>
    </row>
    <row r="87" spans="1:15" x14ac:dyDescent="0.2">
      <c r="A87" s="192"/>
      <c r="B87" s="228" t="s">
        <v>295</v>
      </c>
      <c r="C87" s="225">
        <f>NVDA!E65</f>
        <v>3807</v>
      </c>
      <c r="D87" s="280">
        <f>AMD!E65</f>
        <v>1513</v>
      </c>
      <c r="E87" s="232">
        <f>C64</f>
        <v>302.60000000000002</v>
      </c>
      <c r="F87" s="281"/>
      <c r="G87" s="282">
        <f>SUM(C87:F87)</f>
        <v>5622.6</v>
      </c>
      <c r="H87" s="232">
        <f>G87-H206-H145</f>
        <v>7253.9080585721495</v>
      </c>
      <c r="I87" s="232">
        <f>H87-I206-I145</f>
        <v>9239.7302013493609</v>
      </c>
      <c r="J87" s="232">
        <f>I87-J206-J145</f>
        <v>11689.303261947693</v>
      </c>
      <c r="K87" s="232">
        <f>J87-K206-K145</f>
        <v>14745.523345504727</v>
      </c>
      <c r="L87" s="232">
        <f>K87-L206-L145</f>
        <v>18595.31729883168</v>
      </c>
      <c r="M87" s="192"/>
      <c r="N87" s="192"/>
      <c r="O87" s="192"/>
    </row>
    <row r="88" spans="1:15" x14ac:dyDescent="0.2">
      <c r="A88" s="192"/>
      <c r="B88" s="228" t="s">
        <v>296</v>
      </c>
      <c r="C88" s="223">
        <f>NVDA!E68</f>
        <v>1676</v>
      </c>
      <c r="D88" s="284">
        <f>AMD!E68</f>
        <v>24118</v>
      </c>
      <c r="E88" s="232">
        <f ca="1">C72+L52+L53</f>
        <v>38390.219545454544</v>
      </c>
      <c r="F88" s="293"/>
      <c r="G88" s="286">
        <f ca="1">SUM(C88:F88)</f>
        <v>64184.219545454544</v>
      </c>
      <c r="H88" s="235">
        <f ca="1">G88-H150</f>
        <v>58528.419545454541</v>
      </c>
      <c r="I88" s="235">
        <f ca="1">H88-I150</f>
        <v>53244.119545454538</v>
      </c>
      <c r="J88" s="235">
        <f ca="1">I88-J150</f>
        <v>48127.319545454535</v>
      </c>
      <c r="K88" s="235">
        <f ca="1">J88-K150</f>
        <v>43119.019545454532</v>
      </c>
      <c r="L88" s="235">
        <f ca="1">K88-L150</f>
        <v>33097.219545454529</v>
      </c>
      <c r="M88" s="192"/>
      <c r="N88" s="192"/>
      <c r="O88" s="192"/>
    </row>
    <row r="89" spans="1:15" x14ac:dyDescent="0.2">
      <c r="A89" s="192"/>
      <c r="B89" s="228" t="s">
        <v>55</v>
      </c>
      <c r="C89" s="223">
        <f>NVDA!E67</f>
        <v>4372</v>
      </c>
      <c r="D89" s="284">
        <f>AMD!E67</f>
        <v>24177</v>
      </c>
      <c r="E89" s="232">
        <f>I76</f>
        <v>153145.5432276967</v>
      </c>
      <c r="F89" s="293">
        <f>-D89</f>
        <v>-24177</v>
      </c>
      <c r="G89" s="286">
        <f>SUM(C89:F89)</f>
        <v>157517.5432276967</v>
      </c>
      <c r="H89" s="235">
        <f>G89</f>
        <v>157517.5432276967</v>
      </c>
      <c r="I89" s="235">
        <f t="shared" ref="I89:L90" si="2">H89</f>
        <v>157517.5432276967</v>
      </c>
      <c r="J89" s="235">
        <f t="shared" si="2"/>
        <v>157517.5432276967</v>
      </c>
      <c r="K89" s="235">
        <f t="shared" si="2"/>
        <v>157517.5432276967</v>
      </c>
      <c r="L89" s="235">
        <f t="shared" si="2"/>
        <v>157517.5432276967</v>
      </c>
      <c r="M89" s="192"/>
      <c r="N89" s="192"/>
      <c r="O89" s="192"/>
    </row>
    <row r="90" spans="1:15" x14ac:dyDescent="0.2">
      <c r="A90" s="192"/>
      <c r="B90" s="228" t="s">
        <v>297</v>
      </c>
      <c r="C90" s="223">
        <f>NVDA!E69+NVDA!E70+NVDA!E66</f>
        <v>8254</v>
      </c>
      <c r="D90" s="284">
        <f>AMD!E69+AMD!E70+AMD!E71+AMD!E66</f>
        <v>2753</v>
      </c>
      <c r="E90" s="295"/>
      <c r="F90" s="281">
        <f>I65</f>
        <v>0</v>
      </c>
      <c r="G90" s="286">
        <f>SUM(C90:F90)</f>
        <v>11007</v>
      </c>
      <c r="H90" s="260">
        <f>G90</f>
        <v>11007</v>
      </c>
      <c r="I90" s="260">
        <f t="shared" si="2"/>
        <v>11007</v>
      </c>
      <c r="J90" s="260">
        <f t="shared" si="2"/>
        <v>11007</v>
      </c>
      <c r="K90" s="260">
        <f t="shared" si="2"/>
        <v>11007</v>
      </c>
      <c r="L90" s="260">
        <f t="shared" si="2"/>
        <v>11007</v>
      </c>
      <c r="M90" s="192"/>
      <c r="N90" s="192"/>
      <c r="O90" s="192"/>
    </row>
    <row r="91" spans="1:15" x14ac:dyDescent="0.2">
      <c r="A91" s="192"/>
      <c r="B91" s="228" t="s">
        <v>298</v>
      </c>
      <c r="C91" s="283">
        <f>SUM(C87:C90)</f>
        <v>18109</v>
      </c>
      <c r="D91" s="290">
        <f>SUM(D87:D90)</f>
        <v>52561</v>
      </c>
      <c r="E91" s="192"/>
      <c r="F91" s="290">
        <f>SUM(F87:F90)</f>
        <v>-24177</v>
      </c>
      <c r="G91" s="296">
        <f t="shared" ref="G91:L91" ca="1" si="3">SUM(G87:G90)</f>
        <v>238331.36277315125</v>
      </c>
      <c r="H91" s="283">
        <f t="shared" ca="1" si="3"/>
        <v>234306.87083172338</v>
      </c>
      <c r="I91" s="283">
        <f t="shared" ca="1" si="3"/>
        <v>231008.3929745006</v>
      </c>
      <c r="J91" s="283">
        <f t="shared" ca="1" si="3"/>
        <v>228341.16603509893</v>
      </c>
      <c r="K91" s="283">
        <f t="shared" ca="1" si="3"/>
        <v>226389.08611865598</v>
      </c>
      <c r="L91" s="283">
        <f t="shared" ca="1" si="3"/>
        <v>220217.08007198293</v>
      </c>
      <c r="M91" s="192"/>
      <c r="N91" s="192"/>
      <c r="O91" s="192"/>
    </row>
    <row r="92" spans="1:15" x14ac:dyDescent="0.2">
      <c r="A92" s="192"/>
      <c r="B92" s="228"/>
      <c r="C92" s="235"/>
      <c r="D92" s="293"/>
      <c r="E92" s="192"/>
      <c r="F92" s="285"/>
      <c r="G92" s="294"/>
      <c r="H92" s="235"/>
      <c r="I92" s="235"/>
      <c r="J92" s="235"/>
      <c r="K92" s="235"/>
      <c r="L92" s="235"/>
      <c r="M92" s="192"/>
      <c r="N92" s="192"/>
      <c r="O92" s="192"/>
    </row>
    <row r="93" spans="1:15" x14ac:dyDescent="0.2">
      <c r="A93" s="192"/>
      <c r="B93" s="297" t="s">
        <v>59</v>
      </c>
      <c r="C93" s="221">
        <f>C85+C91</f>
        <v>41182</v>
      </c>
      <c r="D93" s="298">
        <f>D85+D91</f>
        <v>67580</v>
      </c>
      <c r="E93" s="192"/>
      <c r="F93" s="298"/>
      <c r="G93" s="299">
        <f t="shared" ref="G93:L93" ca="1" si="4">G85+G91</f>
        <v>269179.36277315125</v>
      </c>
      <c r="H93" s="221">
        <f t="shared" ca="1" si="4"/>
        <v>268826.15358102677</v>
      </c>
      <c r="I93" s="221">
        <f t="shared" ca="1" si="4"/>
        <v>281300.0048048778</v>
      </c>
      <c r="J93" s="221">
        <f t="shared" ca="1" si="4"/>
        <v>302533.46930370794</v>
      </c>
      <c r="K93" s="221">
        <f t="shared" ca="1" si="4"/>
        <v>335157.22528391256</v>
      </c>
      <c r="L93" s="221">
        <f t="shared" ca="1" si="4"/>
        <v>388391.06157967908</v>
      </c>
      <c r="M93" s="192"/>
      <c r="N93" s="192"/>
      <c r="O93" s="192"/>
    </row>
    <row r="94" spans="1:15" x14ac:dyDescent="0.2">
      <c r="A94" s="192"/>
      <c r="B94" s="228"/>
      <c r="C94" s="235"/>
      <c r="D94" s="293"/>
      <c r="E94" s="192"/>
      <c r="F94" s="285"/>
      <c r="G94" s="294"/>
      <c r="H94" s="235"/>
      <c r="I94" s="235"/>
      <c r="J94" s="235"/>
      <c r="K94" s="235"/>
      <c r="L94" s="235"/>
      <c r="M94" s="192"/>
      <c r="N94" s="192"/>
      <c r="O94" s="192"/>
    </row>
    <row r="95" spans="1:15" x14ac:dyDescent="0.2">
      <c r="A95" s="192"/>
      <c r="B95" s="228" t="s">
        <v>299</v>
      </c>
      <c r="C95" s="223">
        <f>NVDA!E76</f>
        <v>1250</v>
      </c>
      <c r="D95" s="284">
        <f>AMD!E77</f>
        <v>0</v>
      </c>
      <c r="E95" s="192"/>
      <c r="F95" s="285"/>
      <c r="G95" s="286">
        <f>SUM(C95:F95)</f>
        <v>1250</v>
      </c>
      <c r="H95" s="260">
        <f>G95</f>
        <v>1250</v>
      </c>
      <c r="I95" s="260">
        <f>H95</f>
        <v>1250</v>
      </c>
      <c r="J95" s="260">
        <f>I95</f>
        <v>1250</v>
      </c>
      <c r="K95" s="260">
        <f>J95</f>
        <v>1250</v>
      </c>
      <c r="L95" s="260">
        <f>K95</f>
        <v>1250</v>
      </c>
      <c r="M95" s="192"/>
      <c r="N95" s="192"/>
      <c r="O95" s="192"/>
    </row>
    <row r="96" spans="1:15" x14ac:dyDescent="0.2">
      <c r="A96" s="192"/>
      <c r="B96" s="228" t="s">
        <v>300</v>
      </c>
      <c r="C96" s="223">
        <f>NVDA!E74</f>
        <v>1193</v>
      </c>
      <c r="D96" s="284">
        <f>AMD!E75</f>
        <v>2493</v>
      </c>
      <c r="E96" s="192"/>
      <c r="F96" s="285"/>
      <c r="G96" s="286">
        <f>SUM(C96:F96)</f>
        <v>3686</v>
      </c>
      <c r="H96" s="260">
        <f t="shared" ref="H96:L97" si="5">H182</f>
        <v>4203.4966991179917</v>
      </c>
      <c r="I96" s="260">
        <f t="shared" si="5"/>
        <v>6272.9050586773819</v>
      </c>
      <c r="J96" s="260">
        <f t="shared" si="5"/>
        <v>9420.0552326850557</v>
      </c>
      <c r="K96" s="260">
        <f t="shared" si="5"/>
        <v>13975.678683031898</v>
      </c>
      <c r="L96" s="260">
        <f t="shared" si="5"/>
        <v>20860.223646721104</v>
      </c>
      <c r="M96" s="192"/>
      <c r="N96" s="192"/>
      <c r="O96" s="192"/>
    </row>
    <row r="97" spans="1:15" x14ac:dyDescent="0.2">
      <c r="A97" s="192"/>
      <c r="B97" s="228" t="s">
        <v>301</v>
      </c>
      <c r="C97" s="223">
        <f>NVDA!E75</f>
        <v>4120</v>
      </c>
      <c r="D97" s="284">
        <f>AMD!E76</f>
        <v>3876</v>
      </c>
      <c r="E97" s="287"/>
      <c r="F97" s="285"/>
      <c r="G97" s="286">
        <f>SUM(C97:F97)</f>
        <v>7996</v>
      </c>
      <c r="H97" s="260">
        <f t="shared" si="5"/>
        <v>14516.686001983342</v>
      </c>
      <c r="I97" s="260">
        <f t="shared" si="5"/>
        <v>21663.343538768495</v>
      </c>
      <c r="J97" s="260">
        <f t="shared" si="5"/>
        <v>32531.959395358281</v>
      </c>
      <c r="K97" s="260">
        <f t="shared" si="5"/>
        <v>48264.707606111835</v>
      </c>
      <c r="L97" s="260">
        <f t="shared" si="5"/>
        <v>72040.336483227962</v>
      </c>
      <c r="M97" s="192"/>
      <c r="N97" s="192"/>
      <c r="O97" s="192"/>
    </row>
    <row r="98" spans="1:15" x14ac:dyDescent="0.2">
      <c r="A98" s="192"/>
      <c r="B98" s="228" t="s">
        <v>302</v>
      </c>
      <c r="C98" s="283">
        <f>SUM(C95:C97)</f>
        <v>6563</v>
      </c>
      <c r="D98" s="290">
        <f>SUM(D95:D97)</f>
        <v>6369</v>
      </c>
      <c r="E98" s="192"/>
      <c r="F98" s="290">
        <f t="shared" ref="F98:L98" si="6">SUM(F95:F97)</f>
        <v>0</v>
      </c>
      <c r="G98" s="296">
        <f t="shared" si="6"/>
        <v>12932</v>
      </c>
      <c r="H98" s="283">
        <f t="shared" si="6"/>
        <v>19970.182701101334</v>
      </c>
      <c r="I98" s="283">
        <f t="shared" si="6"/>
        <v>29186.248597445876</v>
      </c>
      <c r="J98" s="283">
        <f t="shared" si="6"/>
        <v>43202.01462804334</v>
      </c>
      <c r="K98" s="283">
        <f t="shared" si="6"/>
        <v>63490.386289143731</v>
      </c>
      <c r="L98" s="283">
        <f t="shared" si="6"/>
        <v>94150.560129949066</v>
      </c>
      <c r="M98" s="192"/>
      <c r="N98" s="192"/>
      <c r="O98" s="192"/>
    </row>
    <row r="99" spans="1:15" x14ac:dyDescent="0.2">
      <c r="A99" s="192"/>
      <c r="B99" s="228"/>
      <c r="C99" s="235"/>
      <c r="D99" s="293"/>
      <c r="E99" s="192"/>
      <c r="F99" s="285"/>
      <c r="G99" s="294"/>
      <c r="H99" s="235"/>
      <c r="I99" s="235"/>
      <c r="J99" s="235"/>
      <c r="K99" s="235"/>
      <c r="L99" s="235"/>
      <c r="M99" s="192"/>
      <c r="N99" s="192"/>
      <c r="O99" s="192"/>
    </row>
    <row r="100" spans="1:15" x14ac:dyDescent="0.2">
      <c r="A100" s="192"/>
      <c r="B100" s="228" t="s">
        <v>303</v>
      </c>
      <c r="C100" s="225">
        <v>0</v>
      </c>
      <c r="D100" s="280">
        <v>0</v>
      </c>
      <c r="E100" s="192"/>
      <c r="F100" s="281"/>
      <c r="G100" s="282">
        <f>SUM(C100:F100)</f>
        <v>0</v>
      </c>
      <c r="H100" s="234">
        <v>0</v>
      </c>
      <c r="I100" s="234">
        <f>H100</f>
        <v>0</v>
      </c>
      <c r="J100" s="234">
        <f>I100</f>
        <v>0</v>
      </c>
      <c r="K100" s="234">
        <f>J100</f>
        <v>0</v>
      </c>
      <c r="L100" s="234">
        <f>K100</f>
        <v>0</v>
      </c>
      <c r="M100" s="192"/>
      <c r="N100" s="192"/>
      <c r="O100" s="192"/>
    </row>
    <row r="101" spans="1:15" x14ac:dyDescent="0.2">
      <c r="A101" s="192"/>
      <c r="B101" s="228" t="s">
        <v>65</v>
      </c>
      <c r="C101" s="223">
        <f>NVDA!E79</f>
        <v>9703</v>
      </c>
      <c r="D101" s="284">
        <f>AMD!E80</f>
        <v>2467</v>
      </c>
      <c r="E101" s="232">
        <f ca="1">D52+D53</f>
        <v>106910.97727272726</v>
      </c>
      <c r="F101" s="293"/>
      <c r="G101" s="286">
        <f ca="1">SUM(C101:F101)</f>
        <v>119080.97727272726</v>
      </c>
      <c r="H101" s="235">
        <f ca="1">H260</f>
        <v>108762.77247654081</v>
      </c>
      <c r="I101" s="235">
        <f ca="1">I260</f>
        <v>97277.4467704743</v>
      </c>
      <c r="J101" s="235">
        <f ca="1">J260</f>
        <v>76767.154368552146</v>
      </c>
      <c r="K101" s="235">
        <f ca="1">K260</f>
        <v>44137.952115930784</v>
      </c>
      <c r="L101" s="235">
        <f ca="1">L260</f>
        <v>0</v>
      </c>
      <c r="M101" s="192"/>
      <c r="N101" s="192"/>
      <c r="O101" s="192"/>
    </row>
    <row r="102" spans="1:15" x14ac:dyDescent="0.2">
      <c r="A102" s="192"/>
      <c r="B102" s="228" t="s">
        <v>304</v>
      </c>
      <c r="C102" s="300">
        <v>0</v>
      </c>
      <c r="D102" s="301">
        <v>0</v>
      </c>
      <c r="E102" s="192"/>
      <c r="F102" s="293"/>
      <c r="G102" s="302">
        <f>SUM(C102:F102)</f>
        <v>0</v>
      </c>
      <c r="H102" s="303">
        <f ca="1">G102+H286</f>
        <v>442.64390909090923</v>
      </c>
      <c r="I102" s="303">
        <f t="shared" ref="I102:L102" ca="1" si="7">H102+I286</f>
        <v>885.28781818181847</v>
      </c>
      <c r="J102" s="303">
        <f t="shared" ca="1" si="7"/>
        <v>1327.9317272727276</v>
      </c>
      <c r="K102" s="303">
        <f t="shared" ca="1" si="7"/>
        <v>1770.5756363636369</v>
      </c>
      <c r="L102" s="303">
        <f t="shared" ca="1" si="7"/>
        <v>2213.2195454545463</v>
      </c>
      <c r="M102" s="192"/>
      <c r="N102" s="192"/>
      <c r="O102" s="192"/>
    </row>
    <row r="103" spans="1:15" x14ac:dyDescent="0.2">
      <c r="A103" s="192"/>
      <c r="B103" s="228" t="s">
        <v>305</v>
      </c>
      <c r="C103" s="223">
        <f>NVDA!E81+NVDA!E80</f>
        <v>2815</v>
      </c>
      <c r="D103" s="284">
        <f>AMD!E81+AMD!E82</f>
        <v>2294</v>
      </c>
      <c r="E103" s="295">
        <f>I71</f>
        <v>-1631.5917723032767</v>
      </c>
      <c r="F103" s="281">
        <f>I70</f>
        <v>0</v>
      </c>
      <c r="G103" s="286">
        <f>SUM(C103:F103)</f>
        <v>3477.4082276967233</v>
      </c>
      <c r="H103" s="260">
        <f>G103</f>
        <v>3477.4082276967233</v>
      </c>
      <c r="I103" s="260">
        <f>H103</f>
        <v>3477.4082276967233</v>
      </c>
      <c r="J103" s="260">
        <f>I103</f>
        <v>3477.4082276967233</v>
      </c>
      <c r="K103" s="260">
        <f>J103</f>
        <v>3477.4082276967233</v>
      </c>
      <c r="L103" s="260">
        <f>K103</f>
        <v>3477.4082276967233</v>
      </c>
      <c r="M103" s="192"/>
      <c r="N103" s="192"/>
      <c r="O103" s="192"/>
    </row>
    <row r="104" spans="1:15" x14ac:dyDescent="0.2">
      <c r="A104" s="192"/>
      <c r="B104" s="228" t="s">
        <v>306</v>
      </c>
      <c r="C104" s="283">
        <f>SUM(C100:C103)</f>
        <v>12518</v>
      </c>
      <c r="D104" s="290">
        <f>SUM(D100:D103)</f>
        <v>4761</v>
      </c>
      <c r="E104" s="192"/>
      <c r="F104" s="290">
        <f t="shared" ref="F104:L104" si="8">SUM(F100:F103)</f>
        <v>0</v>
      </c>
      <c r="G104" s="296">
        <f ca="1">SUM(G100:G103)</f>
        <v>122558.38550042399</v>
      </c>
      <c r="H104" s="283">
        <f t="shared" ca="1" si="8"/>
        <v>112682.82461332844</v>
      </c>
      <c r="I104" s="283">
        <f t="shared" ca="1" si="8"/>
        <v>101640.14281635285</v>
      </c>
      <c r="J104" s="283">
        <f t="shared" ca="1" si="8"/>
        <v>81572.494323521591</v>
      </c>
      <c r="K104" s="283">
        <f t="shared" ca="1" si="8"/>
        <v>49385.935979991147</v>
      </c>
      <c r="L104" s="283">
        <f t="shared" ca="1" si="8"/>
        <v>5690.6277731512691</v>
      </c>
      <c r="M104" s="192"/>
      <c r="N104" s="192"/>
      <c r="O104" s="192"/>
    </row>
    <row r="105" spans="1:15" x14ac:dyDescent="0.2">
      <c r="A105" s="192"/>
      <c r="B105" s="228"/>
      <c r="C105" s="235"/>
      <c r="D105" s="293"/>
      <c r="E105" s="192"/>
      <c r="F105" s="285"/>
      <c r="G105" s="294"/>
      <c r="H105" s="235"/>
      <c r="I105" s="235"/>
      <c r="J105" s="235"/>
      <c r="K105" s="235"/>
      <c r="L105" s="235"/>
      <c r="M105" s="192"/>
      <c r="N105" s="192"/>
      <c r="O105" s="192"/>
    </row>
    <row r="106" spans="1:15" x14ac:dyDescent="0.2">
      <c r="A106" s="192"/>
      <c r="B106" s="297" t="s">
        <v>307</v>
      </c>
      <c r="C106" s="221">
        <f>C98+C104</f>
        <v>19081</v>
      </c>
      <c r="D106" s="298">
        <f>D98+D104</f>
        <v>11130</v>
      </c>
      <c r="E106" s="192"/>
      <c r="F106" s="298">
        <f t="shared" ref="F106:L106" si="9">F98+F104</f>
        <v>0</v>
      </c>
      <c r="G106" s="299">
        <f ca="1">G98+G104</f>
        <v>135490.38550042399</v>
      </c>
      <c r="H106" s="221">
        <f t="shared" ca="1" si="9"/>
        <v>132653.00731442976</v>
      </c>
      <c r="I106" s="221">
        <f t="shared" ca="1" si="9"/>
        <v>130826.39141379873</v>
      </c>
      <c r="J106" s="221">
        <f t="shared" ca="1" si="9"/>
        <v>124774.50895156493</v>
      </c>
      <c r="K106" s="221">
        <f t="shared" ca="1" si="9"/>
        <v>112876.32226913488</v>
      </c>
      <c r="L106" s="221">
        <f t="shared" ca="1" si="9"/>
        <v>99841.187903100334</v>
      </c>
      <c r="M106" s="192"/>
      <c r="N106" s="192"/>
      <c r="O106" s="192"/>
    </row>
    <row r="107" spans="1:15" x14ac:dyDescent="0.2">
      <c r="A107" s="192"/>
      <c r="B107" s="228"/>
      <c r="C107" s="235"/>
      <c r="D107" s="293"/>
      <c r="E107" s="192"/>
      <c r="F107" s="285"/>
      <c r="G107" s="294"/>
      <c r="H107" s="235"/>
      <c r="I107" s="235"/>
      <c r="J107" s="235"/>
      <c r="K107" s="235"/>
      <c r="L107" s="235"/>
      <c r="M107" s="192"/>
      <c r="N107" s="192"/>
      <c r="O107" s="192"/>
    </row>
    <row r="108" spans="1:15" x14ac:dyDescent="0.2">
      <c r="A108" s="192"/>
      <c r="B108" s="228" t="s">
        <v>308</v>
      </c>
      <c r="C108" s="304">
        <f>NVDA!E91</f>
        <v>22101</v>
      </c>
      <c r="D108" s="305">
        <f>AMD!E92</f>
        <v>56450</v>
      </c>
      <c r="E108" s="306">
        <f ca="1">I45</f>
        <v>111687.97727272726</v>
      </c>
      <c r="F108" s="307">
        <f>-D108-C38</f>
        <v>-56550</v>
      </c>
      <c r="G108" s="302">
        <f ca="1">SUM(C108:F108)</f>
        <v>133688.97727272726</v>
      </c>
      <c r="H108" s="303">
        <f ca="1">G108+H161+H212+H213</f>
        <v>136173.146266597</v>
      </c>
      <c r="I108" s="303">
        <f t="shared" ref="I108:L108" ca="1" si="10">H108+I161+I212+I213</f>
        <v>150473.61339107907</v>
      </c>
      <c r="J108" s="303">
        <f t="shared" ca="1" si="10"/>
        <v>177758.96035217325</v>
      </c>
      <c r="K108" s="303">
        <f t="shared" ca="1" si="10"/>
        <v>222280.90304057839</v>
      </c>
      <c r="L108" s="303">
        <f t="shared" ca="1" si="10"/>
        <v>288549.87365382136</v>
      </c>
      <c r="M108" s="235"/>
      <c r="N108" s="192"/>
      <c r="O108" s="192"/>
    </row>
    <row r="109" spans="1:15" x14ac:dyDescent="0.2">
      <c r="A109" s="192"/>
      <c r="B109" s="297" t="s">
        <v>309</v>
      </c>
      <c r="C109" s="308">
        <f>SUM(C108:C108)</f>
        <v>22101</v>
      </c>
      <c r="D109" s="309">
        <f>SUM(D108:D108)</f>
        <v>56450</v>
      </c>
      <c r="E109" s="192"/>
      <c r="F109" s="310"/>
      <c r="G109" s="311">
        <f t="shared" ref="G109:L109" ca="1" si="11">SUM(G108:G108)</f>
        <v>133688.97727272726</v>
      </c>
      <c r="H109" s="308">
        <f t="shared" ca="1" si="11"/>
        <v>136173.146266597</v>
      </c>
      <c r="I109" s="308">
        <f t="shared" ca="1" si="11"/>
        <v>150473.61339107907</v>
      </c>
      <c r="J109" s="308">
        <f t="shared" ca="1" si="11"/>
        <v>177758.96035217325</v>
      </c>
      <c r="K109" s="308">
        <f t="shared" ca="1" si="11"/>
        <v>222280.90304057839</v>
      </c>
      <c r="L109" s="308">
        <f t="shared" ca="1" si="11"/>
        <v>288549.87365382136</v>
      </c>
      <c r="M109" s="192"/>
      <c r="N109" s="192"/>
      <c r="O109" s="192"/>
    </row>
    <row r="110" spans="1:15" x14ac:dyDescent="0.2">
      <c r="A110" s="192"/>
      <c r="B110" s="228"/>
      <c r="C110" s="235"/>
      <c r="D110" s="293"/>
      <c r="E110" s="192"/>
      <c r="F110" s="285"/>
      <c r="G110" s="294"/>
      <c r="H110" s="235"/>
      <c r="I110" s="235"/>
      <c r="J110" s="235"/>
      <c r="K110" s="235"/>
      <c r="L110" s="235"/>
      <c r="M110" s="192"/>
      <c r="N110" s="192"/>
      <c r="O110" s="192"/>
    </row>
    <row r="111" spans="1:15" x14ac:dyDescent="0.2">
      <c r="A111" s="192"/>
      <c r="B111" s="297" t="s">
        <v>310</v>
      </c>
      <c r="C111" s="221">
        <f>C106+C109</f>
        <v>41182</v>
      </c>
      <c r="D111" s="298">
        <f>D106+D109</f>
        <v>67580</v>
      </c>
      <c r="E111" s="192"/>
      <c r="F111" s="298"/>
      <c r="G111" s="299">
        <f t="shared" ref="G111:L111" ca="1" si="12">G106+G109</f>
        <v>269179.36277315125</v>
      </c>
      <c r="H111" s="221">
        <f t="shared" ca="1" si="12"/>
        <v>268826.15358102677</v>
      </c>
      <c r="I111" s="221">
        <f t="shared" ca="1" si="12"/>
        <v>281300.0048048778</v>
      </c>
      <c r="J111" s="221">
        <f t="shared" ca="1" si="12"/>
        <v>302533.46930373821</v>
      </c>
      <c r="K111" s="221">
        <f t="shared" ca="1" si="12"/>
        <v>335157.22530971328</v>
      </c>
      <c r="L111" s="221">
        <f t="shared" ca="1" si="12"/>
        <v>388391.06155692169</v>
      </c>
      <c r="M111" s="192"/>
      <c r="N111" s="192"/>
      <c r="O111" s="192"/>
    </row>
    <row r="112" spans="1:15" x14ac:dyDescent="0.2">
      <c r="A112" s="192"/>
      <c r="B112" s="192"/>
      <c r="C112" s="235"/>
      <c r="D112" s="285"/>
      <c r="E112" s="192"/>
      <c r="F112" s="285"/>
      <c r="G112" s="294"/>
      <c r="H112" s="235"/>
      <c r="I112" s="235"/>
      <c r="J112" s="235"/>
      <c r="K112" s="235"/>
      <c r="L112" s="235"/>
      <c r="M112" s="192"/>
      <c r="N112" s="192"/>
      <c r="O112" s="192"/>
    </row>
    <row r="113" spans="1:15" x14ac:dyDescent="0.2">
      <c r="A113" s="228" t="s">
        <v>183</v>
      </c>
      <c r="B113" s="228" t="s">
        <v>78</v>
      </c>
      <c r="C113" s="578">
        <f>ROUND(C93-C111,3)</f>
        <v>0</v>
      </c>
      <c r="D113" s="578">
        <f>ROUND(D93-D111,3)</f>
        <v>0</v>
      </c>
      <c r="E113" s="579"/>
      <c r="F113" s="580"/>
      <c r="G113" s="581">
        <f t="shared" ref="G113:L113" ca="1" si="13">ROUND(G93-G111,3)</f>
        <v>0</v>
      </c>
      <c r="H113" s="578">
        <f t="shared" ca="1" si="13"/>
        <v>0</v>
      </c>
      <c r="I113" s="578">
        <f t="shared" ca="1" si="13"/>
        <v>0</v>
      </c>
      <c r="J113" s="578">
        <f t="shared" ca="1" si="13"/>
        <v>0</v>
      </c>
      <c r="K113" s="578">
        <f t="shared" ca="1" si="13"/>
        <v>0</v>
      </c>
      <c r="L113" s="578">
        <f t="shared" ca="1" si="13"/>
        <v>0</v>
      </c>
      <c r="M113" s="192"/>
      <c r="N113" s="192"/>
      <c r="O113" s="192"/>
    </row>
    <row r="114" spans="1:15" x14ac:dyDescent="0.2">
      <c r="A114" s="228"/>
      <c r="B114" s="192"/>
      <c r="C114" s="192"/>
      <c r="D114" s="192"/>
      <c r="E114" s="192"/>
      <c r="F114" s="192"/>
      <c r="G114" s="192"/>
      <c r="H114" s="192"/>
      <c r="I114" s="192"/>
      <c r="J114" s="192"/>
      <c r="K114" s="192"/>
      <c r="L114" s="192"/>
      <c r="M114" s="192"/>
      <c r="N114" s="192"/>
      <c r="O114" s="192"/>
    </row>
    <row r="115" spans="1:15" x14ac:dyDescent="0.2">
      <c r="A115" s="192"/>
      <c r="B115" s="200" t="s">
        <v>12</v>
      </c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192"/>
      <c r="N115" s="192"/>
      <c r="O115" s="192"/>
    </row>
    <row r="116" spans="1:15" x14ac:dyDescent="0.2">
      <c r="A116" s="192"/>
      <c r="B116" s="192"/>
      <c r="C116" s="192"/>
      <c r="D116" s="192"/>
      <c r="E116" s="274">
        <f>F116-1</f>
        <v>2020</v>
      </c>
      <c r="F116" s="274">
        <f>G116-1</f>
        <v>2021</v>
      </c>
      <c r="G116" s="313">
        <f>YEAR(C21)</f>
        <v>2022</v>
      </c>
      <c r="H116" s="279">
        <f>G116+1</f>
        <v>2023</v>
      </c>
      <c r="I116" s="279">
        <f>H116+1</f>
        <v>2024</v>
      </c>
      <c r="J116" s="279">
        <f>I116+1</f>
        <v>2025</v>
      </c>
      <c r="K116" s="279">
        <f>J116+1</f>
        <v>2026</v>
      </c>
      <c r="L116" s="279">
        <f>K116+1</f>
        <v>2027</v>
      </c>
      <c r="M116" s="192"/>
      <c r="N116" s="192"/>
      <c r="O116" s="192"/>
    </row>
    <row r="117" spans="1:15" x14ac:dyDescent="0.2">
      <c r="A117" s="192"/>
      <c r="B117" s="192" t="s">
        <v>344</v>
      </c>
      <c r="C117" s="192"/>
      <c r="D117" s="192"/>
      <c r="E117" s="314">
        <f>NVDA!C15</f>
        <v>16675</v>
      </c>
      <c r="F117" s="314">
        <f>NVDA!D15</f>
        <v>26914</v>
      </c>
      <c r="G117" s="315">
        <f>NVDA!E15</f>
        <v>26974</v>
      </c>
      <c r="H117" s="314">
        <f>NVDA!F15</f>
        <v>35285.529728266578</v>
      </c>
      <c r="I117" s="314">
        <f>NVDA!G15</f>
        <v>46158.100697129994</v>
      </c>
      <c r="J117" s="314">
        <f>NVDA!H15</f>
        <v>60380.849497623742</v>
      </c>
      <c r="K117" s="314">
        <f>NVDA!I15</f>
        <v>78986.070288662886</v>
      </c>
      <c r="L117" s="314">
        <f>NVDA!J15</f>
        <v>103324.13921886143</v>
      </c>
      <c r="M117" s="192"/>
      <c r="N117" s="192"/>
      <c r="O117" s="192"/>
    </row>
    <row r="118" spans="1:15" x14ac:dyDescent="0.2">
      <c r="A118" s="192"/>
      <c r="B118" s="192" t="s">
        <v>345</v>
      </c>
      <c r="C118" s="192"/>
      <c r="D118" s="192"/>
      <c r="E118" s="223">
        <f>AMD!C15*(0.5)+AMD!D15*(0.5)</f>
        <v>13098.5</v>
      </c>
      <c r="F118" s="223">
        <f>AMD!D15*(0.5)+AMD!E15*(0.5)</f>
        <v>20017.5</v>
      </c>
      <c r="G118" s="316">
        <f>AMD!E15*(0.5)+AMD!F15*(0.5)</f>
        <v>30205.752465230453</v>
      </c>
      <c r="H118" s="223">
        <f>AMD!F15*(0.5)+AMD!G15*(0.5)</f>
        <v>47111.944411238816</v>
      </c>
      <c r="I118" s="223">
        <f>AMD!G15*(0.5)+AMD!H15*(0.5)</f>
        <v>73480.550062857772</v>
      </c>
      <c r="J118" s="223">
        <f>AMD!H15*(0.5)+AMD!I15*(0.5)</f>
        <v>114607.69248683553</v>
      </c>
      <c r="K118" s="223">
        <f>AMD!I15*(0.5)+AMD!J15*(0.5)</f>
        <v>178753.74049215738</v>
      </c>
      <c r="L118" s="223">
        <f>AMD!J15*(0.5)+AMD!K15*(0.5)</f>
        <v>278802.40014087909</v>
      </c>
      <c r="M118" s="192"/>
      <c r="N118" s="192"/>
      <c r="O118" s="192"/>
    </row>
    <row r="119" spans="1:15" x14ac:dyDescent="0.2">
      <c r="A119" s="192"/>
      <c r="B119" s="317" t="s">
        <v>346</v>
      </c>
      <c r="C119" s="317"/>
      <c r="D119" s="317"/>
      <c r="E119" s="318"/>
      <c r="F119" s="318"/>
      <c r="G119" s="319"/>
      <c r="H119" s="318">
        <f>SUM(H117:H118)*(INDEX(H165:H167,MATCH($C$12,$D$165:$D$167,0)))</f>
        <v>1373.2912356584231</v>
      </c>
      <c r="I119" s="318">
        <f>SUM(I117:I118)*(INDEX(I165:I167,MATCH($C$12,$D$165:$D$167,0)))</f>
        <v>3987.9550253329253</v>
      </c>
      <c r="J119" s="318">
        <f>SUM(J117:J118)*(INDEX(J165:J167,MATCH($C$12,$D$165:$D$167,0)))</f>
        <v>8749.4270992229631</v>
      </c>
      <c r="K119" s="318">
        <f>SUM(K117:K118)*(INDEX(K165:K167,MATCH($C$12,$D$165:$D$167,0)))</f>
        <v>12886.990539041013</v>
      </c>
      <c r="L119" s="318">
        <f>SUM(L117:L118)*(INDEX(L165:L167,MATCH($C$12,$D$165:$D$167,0)))</f>
        <v>19106.326967987025</v>
      </c>
      <c r="M119" s="192"/>
      <c r="N119" s="192"/>
      <c r="O119" s="192"/>
    </row>
    <row r="120" spans="1:15" x14ac:dyDescent="0.2">
      <c r="A120" s="192"/>
      <c r="B120" s="216" t="s">
        <v>347</v>
      </c>
      <c r="C120" s="192"/>
      <c r="D120" s="192"/>
      <c r="E120" s="221">
        <f>SUM(E117:E119)</f>
        <v>29773.5</v>
      </c>
      <c r="F120" s="221">
        <f t="shared" ref="F120:L120" si="14">SUM(F117:F119)</f>
        <v>46931.5</v>
      </c>
      <c r="G120" s="320">
        <f t="shared" si="14"/>
        <v>57179.752465230456</v>
      </c>
      <c r="H120" s="221">
        <f t="shared" si="14"/>
        <v>83770.765375163814</v>
      </c>
      <c r="I120" s="221">
        <f t="shared" si="14"/>
        <v>123626.60578532069</v>
      </c>
      <c r="J120" s="221">
        <f t="shared" si="14"/>
        <v>183737.96908368223</v>
      </c>
      <c r="K120" s="221">
        <f t="shared" si="14"/>
        <v>270626.80131986126</v>
      </c>
      <c r="L120" s="221">
        <f t="shared" si="14"/>
        <v>401232.8663277275</v>
      </c>
      <c r="M120" s="192"/>
      <c r="N120" s="192"/>
      <c r="O120" s="192"/>
    </row>
    <row r="121" spans="1:15" x14ac:dyDescent="0.2">
      <c r="A121" s="192"/>
      <c r="B121" s="192"/>
      <c r="C121" s="192"/>
      <c r="D121" s="192"/>
      <c r="E121" s="192"/>
      <c r="F121" s="192"/>
      <c r="G121" s="294"/>
      <c r="H121" s="192"/>
      <c r="I121" s="192"/>
      <c r="J121" s="192"/>
      <c r="K121" s="192"/>
      <c r="L121" s="192"/>
      <c r="M121" s="192"/>
      <c r="N121" s="192"/>
      <c r="O121" s="192"/>
    </row>
    <row r="122" spans="1:15" x14ac:dyDescent="0.2">
      <c r="A122" s="192"/>
      <c r="B122" s="192" t="s">
        <v>348</v>
      </c>
      <c r="C122" s="192"/>
      <c r="D122" s="192"/>
      <c r="E122" s="223">
        <f>NVDA!C17</f>
        <v>5181</v>
      </c>
      <c r="F122" s="223">
        <f>NVDA!D17</f>
        <v>8265</v>
      </c>
      <c r="G122" s="316">
        <f>NVDA!E17</f>
        <v>10074</v>
      </c>
      <c r="H122" s="223">
        <f>NVDA!F17</f>
        <v>13178.113238027636</v>
      </c>
      <c r="I122" s="223">
        <f>NVDA!G17</f>
        <v>17238.700467964987</v>
      </c>
      <c r="J122" s="223">
        <f>NVDA!H17</f>
        <v>22550.481124010585</v>
      </c>
      <c r="K122" s="223">
        <f>NVDA!I17</f>
        <v>29498.986879513228</v>
      </c>
      <c r="L122" s="223">
        <f>NVDA!J17</f>
        <v>38588.543726952244</v>
      </c>
      <c r="M122" s="192"/>
      <c r="N122" s="192"/>
      <c r="O122" s="192"/>
    </row>
    <row r="123" spans="1:15" x14ac:dyDescent="0.2">
      <c r="A123" s="192"/>
      <c r="B123" s="192" t="s">
        <v>349</v>
      </c>
      <c r="C123" s="192"/>
      <c r="D123" s="192"/>
      <c r="E123" s="223">
        <f>AMD!C17*(0.5)+AMD!D17*(0.5)</f>
        <v>6552</v>
      </c>
      <c r="F123" s="223">
        <f>AMD!D17*(0.5)+AMD!E17*(0.5)</f>
        <v>9439</v>
      </c>
      <c r="G123" s="316">
        <f>AMD!E17*(0.5)+AMD!F17*(0.5)</f>
        <v>13868.460392069708</v>
      </c>
      <c r="H123" s="223">
        <f>AMD!F17*(0.5)+AMD!G17*(0.5)</f>
        <v>21630.652499478147</v>
      </c>
      <c r="I123" s="223">
        <f>AMD!G17*(0.5)+AMD!H17*(0.5)</f>
        <v>33737.351827512684</v>
      </c>
      <c r="J123" s="223">
        <f>AMD!H17*(0.5)+AMD!I17*(0.5)</f>
        <v>52620.183712018545</v>
      </c>
      <c r="K123" s="223">
        <f>AMD!I17*(0.5)+AMD!J17*(0.5)</f>
        <v>82071.75678882323</v>
      </c>
      <c r="L123" s="223">
        <f>AMD!J17*(0.5)+AMD!K17*(0.5)</f>
        <v>128007.40680168493</v>
      </c>
      <c r="M123" s="192"/>
      <c r="N123" s="192"/>
      <c r="O123" s="192"/>
    </row>
    <row r="124" spans="1:15" x14ac:dyDescent="0.2">
      <c r="A124" s="192"/>
      <c r="B124" s="317" t="s">
        <v>350</v>
      </c>
      <c r="C124" s="317"/>
      <c r="D124" s="317"/>
      <c r="E124" s="318"/>
      <c r="F124" s="318"/>
      <c r="G124" s="319"/>
      <c r="H124" s="318">
        <f>H119*H168</f>
        <v>686.64561782921157</v>
      </c>
      <c r="I124" s="318">
        <f>I119*I168</f>
        <v>1993.9775126664626</v>
      </c>
      <c r="J124" s="318">
        <f>J119*J168</f>
        <v>4374.7135496114815</v>
      </c>
      <c r="K124" s="318">
        <f>K119*K168</f>
        <v>6443.4952695205066</v>
      </c>
      <c r="L124" s="318">
        <f>L119*L168</f>
        <v>9553.1634839935123</v>
      </c>
      <c r="M124" s="192"/>
      <c r="N124" s="192"/>
      <c r="O124" s="192"/>
    </row>
    <row r="125" spans="1:15" x14ac:dyDescent="0.2">
      <c r="A125" s="192"/>
      <c r="B125" s="216" t="s">
        <v>351</v>
      </c>
      <c r="C125" s="192"/>
      <c r="D125" s="192"/>
      <c r="E125" s="221">
        <f t="shared" ref="E125:L125" si="15">SUM(E122:E124)</f>
        <v>11733</v>
      </c>
      <c r="F125" s="221">
        <f t="shared" si="15"/>
        <v>17704</v>
      </c>
      <c r="G125" s="320">
        <f t="shared" si="15"/>
        <v>23942.460392069708</v>
      </c>
      <c r="H125" s="221">
        <f t="shared" si="15"/>
        <v>35495.411355334996</v>
      </c>
      <c r="I125" s="221">
        <f t="shared" si="15"/>
        <v>52970.029808144129</v>
      </c>
      <c r="J125" s="221">
        <f t="shared" si="15"/>
        <v>79545.378385640608</v>
      </c>
      <c r="K125" s="221">
        <f t="shared" si="15"/>
        <v>118014.23893785695</v>
      </c>
      <c r="L125" s="221">
        <f t="shared" si="15"/>
        <v>176149.11401263069</v>
      </c>
      <c r="M125" s="192"/>
      <c r="N125" s="192"/>
      <c r="O125" s="192"/>
    </row>
    <row r="126" spans="1:15" x14ac:dyDescent="0.2">
      <c r="A126" s="192"/>
      <c r="B126" s="192"/>
      <c r="C126" s="192"/>
      <c r="D126" s="192"/>
      <c r="E126" s="192"/>
      <c r="F126" s="192"/>
      <c r="G126" s="294"/>
      <c r="H126" s="192"/>
      <c r="I126" s="192"/>
      <c r="J126" s="192"/>
      <c r="K126" s="192"/>
      <c r="L126" s="192"/>
      <c r="M126" s="192"/>
      <c r="N126" s="192"/>
      <c r="O126" s="192"/>
    </row>
    <row r="127" spans="1:15" x14ac:dyDescent="0.2">
      <c r="A127" s="192"/>
      <c r="B127" s="192" t="s">
        <v>352</v>
      </c>
      <c r="C127" s="192"/>
      <c r="D127" s="192"/>
      <c r="E127" s="260">
        <f>E117-E122</f>
        <v>11494</v>
      </c>
      <c r="F127" s="260">
        <f t="shared" ref="F127:L127" si="16">F117-F122</f>
        <v>18649</v>
      </c>
      <c r="G127" s="321">
        <f t="shared" si="16"/>
        <v>16900</v>
      </c>
      <c r="H127" s="260">
        <f t="shared" si="16"/>
        <v>22107.416490238942</v>
      </c>
      <c r="I127" s="260">
        <f t="shared" si="16"/>
        <v>28919.400229165007</v>
      </c>
      <c r="J127" s="260">
        <f t="shared" si="16"/>
        <v>37830.368373613157</v>
      </c>
      <c r="K127" s="260">
        <f t="shared" si="16"/>
        <v>49487.083409149658</v>
      </c>
      <c r="L127" s="260">
        <f t="shared" si="16"/>
        <v>64735.595491909182</v>
      </c>
      <c r="M127" s="192"/>
      <c r="N127" s="192"/>
      <c r="O127" s="192"/>
    </row>
    <row r="128" spans="1:15" x14ac:dyDescent="0.2">
      <c r="A128" s="192"/>
      <c r="B128" s="192" t="s">
        <v>353</v>
      </c>
      <c r="C128" s="192"/>
      <c r="D128" s="192"/>
      <c r="E128" s="260">
        <f t="shared" ref="E128:L130" si="17">E118-E123</f>
        <v>6546.5</v>
      </c>
      <c r="F128" s="260">
        <f t="shared" si="17"/>
        <v>10578.5</v>
      </c>
      <c r="G128" s="321">
        <f t="shared" si="17"/>
        <v>16337.292073160745</v>
      </c>
      <c r="H128" s="260">
        <f t="shared" si="17"/>
        <v>25481.291911760669</v>
      </c>
      <c r="I128" s="260">
        <f t="shared" si="17"/>
        <v>39743.198235345088</v>
      </c>
      <c r="J128" s="260">
        <f t="shared" si="17"/>
        <v>61987.508774816983</v>
      </c>
      <c r="K128" s="260">
        <f t="shared" si="17"/>
        <v>96681.983703334146</v>
      </c>
      <c r="L128" s="260">
        <f t="shared" si="17"/>
        <v>150794.99333919416</v>
      </c>
      <c r="M128" s="192"/>
      <c r="N128" s="192"/>
      <c r="O128" s="192"/>
    </row>
    <row r="129" spans="1:15" x14ac:dyDescent="0.2">
      <c r="A129" s="192"/>
      <c r="B129" s="317" t="s">
        <v>354</v>
      </c>
      <c r="C129" s="317"/>
      <c r="D129" s="317"/>
      <c r="E129" s="322"/>
      <c r="F129" s="322"/>
      <c r="G129" s="323"/>
      <c r="H129" s="322">
        <f t="shared" si="17"/>
        <v>686.64561782921157</v>
      </c>
      <c r="I129" s="322">
        <f t="shared" si="17"/>
        <v>1993.9775126664626</v>
      </c>
      <c r="J129" s="322">
        <f t="shared" si="17"/>
        <v>4374.7135496114815</v>
      </c>
      <c r="K129" s="322">
        <f t="shared" si="17"/>
        <v>6443.4952695205066</v>
      </c>
      <c r="L129" s="322">
        <f t="shared" si="17"/>
        <v>9553.1634839935123</v>
      </c>
      <c r="M129" s="235"/>
      <c r="N129" s="192"/>
      <c r="O129" s="192"/>
    </row>
    <row r="130" spans="1:15" x14ac:dyDescent="0.2">
      <c r="A130" s="192"/>
      <c r="B130" s="216" t="s">
        <v>355</v>
      </c>
      <c r="C130" s="192"/>
      <c r="D130" s="192"/>
      <c r="E130" s="324">
        <f t="shared" si="17"/>
        <v>18040.5</v>
      </c>
      <c r="F130" s="324">
        <f t="shared" si="17"/>
        <v>29227.5</v>
      </c>
      <c r="G130" s="325">
        <f t="shared" si="17"/>
        <v>33237.292073160745</v>
      </c>
      <c r="H130" s="324">
        <f>SUM(H127:H129)</f>
        <v>48275.354019828825</v>
      </c>
      <c r="I130" s="324">
        <f t="shared" ref="I130:L130" si="18">SUM(I127:I129)</f>
        <v>70656.575977176559</v>
      </c>
      <c r="J130" s="324">
        <f t="shared" si="18"/>
        <v>104192.59069804162</v>
      </c>
      <c r="K130" s="324">
        <f t="shared" si="18"/>
        <v>152612.56238200431</v>
      </c>
      <c r="L130" s="324">
        <f t="shared" si="18"/>
        <v>225083.75231509685</v>
      </c>
      <c r="M130" s="192"/>
      <c r="N130" s="192"/>
      <c r="O130" s="192"/>
    </row>
    <row r="131" spans="1:15" x14ac:dyDescent="0.2">
      <c r="A131" s="192"/>
      <c r="B131" s="192"/>
      <c r="C131" s="192"/>
      <c r="D131" s="192"/>
      <c r="E131" s="192"/>
      <c r="F131" s="192"/>
      <c r="G131" s="294"/>
      <c r="H131" s="192"/>
      <c r="I131" s="192"/>
      <c r="J131" s="192"/>
      <c r="K131" s="192"/>
      <c r="L131" s="192"/>
      <c r="M131" s="192"/>
      <c r="N131" s="192"/>
      <c r="O131" s="192"/>
    </row>
    <row r="132" spans="1:15" x14ac:dyDescent="0.2">
      <c r="A132" s="192"/>
      <c r="B132" s="192" t="s">
        <v>356</v>
      </c>
      <c r="C132" s="192"/>
      <c r="D132" s="192"/>
      <c r="E132" s="223">
        <f>NVDA!C23</f>
        <v>5780</v>
      </c>
      <c r="F132" s="223">
        <f>NVDA!D23</f>
        <v>7434</v>
      </c>
      <c r="G132" s="316">
        <f>NVDA!E23</f>
        <v>9779</v>
      </c>
      <c r="H132" s="223">
        <f>NVDA!F23</f>
        <v>12792.214547813408</v>
      </c>
      <c r="I132" s="223">
        <f>NVDA!G23</f>
        <v>16733.894369290214</v>
      </c>
      <c r="J132" s="223">
        <f>NVDA!H23</f>
        <v>21890.128539974146</v>
      </c>
      <c r="K132" s="223">
        <f>NVDA!I23</f>
        <v>28635.159092193757</v>
      </c>
      <c r="L132" s="223">
        <f>NVDA!J23</f>
        <v>37458.543687300582</v>
      </c>
      <c r="M132" s="192"/>
      <c r="N132" s="192"/>
      <c r="O132" s="192"/>
    </row>
    <row r="133" spans="1:15" x14ac:dyDescent="0.2">
      <c r="A133" s="192"/>
      <c r="B133" s="192" t="s">
        <v>357</v>
      </c>
      <c r="C133" s="192"/>
      <c r="D133" s="192"/>
      <c r="E133" s="223">
        <f>AMD!C23*(0.5)+AMD!D23*(0.5)</f>
        <v>3607.5</v>
      </c>
      <c r="F133" s="223">
        <f>AMD!D23*(0.5)+AMD!E23*(0.5)</f>
        <v>5570</v>
      </c>
      <c r="G133" s="316">
        <f>AMD!E23*(0.5)+AMD!F23*(0.5)</f>
        <v>8816.8903323152663</v>
      </c>
      <c r="H133" s="223">
        <f>AMD!F23*(0.5)+AMD!G23*(0.5)</f>
        <v>13751.713276938441</v>
      </c>
      <c r="I133" s="223">
        <f>AMD!G23*(0.5)+AMD!H23*(0.5)</f>
        <v>21448.561899200336</v>
      </c>
      <c r="J133" s="223">
        <f>AMD!H23*(0.5)+AMD!I23*(0.5)</f>
        <v>33453.344923596873</v>
      </c>
      <c r="K133" s="223">
        <f>AMD!I23*(0.5)+AMD!J23*(0.5)</f>
        <v>52177.217840365745</v>
      </c>
      <c r="L133" s="223">
        <f>AMD!J23*(0.5)+AMD!K23*(0.5)</f>
        <v>81380.86244525724</v>
      </c>
      <c r="M133" s="192"/>
      <c r="N133" s="192"/>
      <c r="O133" s="192"/>
    </row>
    <row r="134" spans="1:15" x14ac:dyDescent="0.2">
      <c r="A134" s="192"/>
      <c r="B134" s="317" t="s">
        <v>358</v>
      </c>
      <c r="C134" s="317"/>
      <c r="D134" s="317"/>
      <c r="E134" s="318"/>
      <c r="F134" s="318"/>
      <c r="G134" s="319"/>
      <c r="H134" s="318">
        <f>-SUM(H132:H133)*(INDEX(H170:H172,MATCH($C$12,$D$170:$D$172,0)))</f>
        <v>-265.43927824751847</v>
      </c>
      <c r="I134" s="318">
        <f>-SUM(I132:I133)*(INDEX(I170:I172,MATCH($C$12,$D$170:$D$172,0)))</f>
        <v>-763.64912536981092</v>
      </c>
      <c r="J134" s="318">
        <f>-SUM(J132:J133)*(INDEX(J170:J172,MATCH($C$12,$D$170:$D$172,0)))</f>
        <v>-1660.3042039071306</v>
      </c>
      <c r="K134" s="318">
        <f>-SUM(K132:K133)*(INDEX(K170:K172,MATCH($C$12,$D$170:$D$172,0)))</f>
        <v>-2424.3713079767849</v>
      </c>
      <c r="L134" s="318">
        <f>-SUM(L132:L133)*(INDEX(L170:L172,MATCH($C$12,$D$170:$D$172,0)))</f>
        <v>-3565.1821839767344</v>
      </c>
      <c r="M134" s="192"/>
      <c r="N134" s="192"/>
      <c r="O134" s="192"/>
    </row>
    <row r="135" spans="1:15" x14ac:dyDescent="0.2">
      <c r="A135" s="192"/>
      <c r="B135" s="216" t="s">
        <v>359</v>
      </c>
      <c r="C135" s="192"/>
      <c r="D135" s="192"/>
      <c r="E135" s="221">
        <f t="shared" ref="E135:L135" si="19">SUM(E132:E134)</f>
        <v>9387.5</v>
      </c>
      <c r="F135" s="221">
        <f t="shared" si="19"/>
        <v>13004</v>
      </c>
      <c r="G135" s="320">
        <f t="shared" si="19"/>
        <v>18595.890332315266</v>
      </c>
      <c r="H135" s="221">
        <f t="shared" si="19"/>
        <v>26278.48854650433</v>
      </c>
      <c r="I135" s="221">
        <f t="shared" si="19"/>
        <v>37418.807143120743</v>
      </c>
      <c r="J135" s="221">
        <f t="shared" si="19"/>
        <v>53683.16925966389</v>
      </c>
      <c r="K135" s="221">
        <f t="shared" si="19"/>
        <v>78388.005624582715</v>
      </c>
      <c r="L135" s="221">
        <f t="shared" si="19"/>
        <v>115274.22394858109</v>
      </c>
      <c r="M135" s="192"/>
      <c r="N135" s="192"/>
      <c r="O135" s="192"/>
    </row>
    <row r="136" spans="1:15" x14ac:dyDescent="0.2">
      <c r="A136" s="192"/>
      <c r="B136" s="192"/>
      <c r="C136" s="192"/>
      <c r="D136" s="192"/>
      <c r="E136" s="192"/>
      <c r="F136" s="192"/>
      <c r="G136" s="294"/>
      <c r="H136" s="235"/>
      <c r="I136" s="235"/>
      <c r="J136" s="235"/>
      <c r="K136" s="192"/>
      <c r="L136" s="192"/>
      <c r="M136" s="192"/>
      <c r="N136" s="192"/>
      <c r="O136" s="192"/>
    </row>
    <row r="137" spans="1:15" x14ac:dyDescent="0.2">
      <c r="A137" s="192"/>
      <c r="B137" s="192" t="s">
        <v>360</v>
      </c>
      <c r="C137" s="192"/>
      <c r="D137" s="192"/>
      <c r="E137" s="260">
        <f>E127-E132</f>
        <v>5714</v>
      </c>
      <c r="F137" s="260">
        <f t="shared" ref="F137:L137" si="20">F127-F132</f>
        <v>11215</v>
      </c>
      <c r="G137" s="321">
        <f t="shared" si="20"/>
        <v>7121</v>
      </c>
      <c r="H137" s="260">
        <f t="shared" si="20"/>
        <v>9315.2019424255341</v>
      </c>
      <c r="I137" s="260">
        <f t="shared" si="20"/>
        <v>12185.505859874793</v>
      </c>
      <c r="J137" s="260">
        <f t="shared" si="20"/>
        <v>15940.239833639011</v>
      </c>
      <c r="K137" s="260">
        <f t="shared" si="20"/>
        <v>20851.924316955901</v>
      </c>
      <c r="L137" s="260">
        <f t="shared" si="20"/>
        <v>27277.0518046086</v>
      </c>
      <c r="M137" s="192"/>
      <c r="N137" s="192"/>
      <c r="O137" s="192"/>
    </row>
    <row r="138" spans="1:15" x14ac:dyDescent="0.2">
      <c r="A138" s="192"/>
      <c r="B138" s="192" t="s">
        <v>361</v>
      </c>
      <c r="C138" s="192"/>
      <c r="D138" s="192"/>
      <c r="E138" s="260">
        <f t="shared" ref="E138:L138" si="21">E128-E133</f>
        <v>2939</v>
      </c>
      <c r="F138" s="260">
        <f t="shared" si="21"/>
        <v>5008.5</v>
      </c>
      <c r="G138" s="321">
        <f t="shared" si="21"/>
        <v>7520.4017408454783</v>
      </c>
      <c r="H138" s="260">
        <f t="shared" si="21"/>
        <v>11729.578634822228</v>
      </c>
      <c r="I138" s="260">
        <f t="shared" si="21"/>
        <v>18294.636336144751</v>
      </c>
      <c r="J138" s="260">
        <f t="shared" si="21"/>
        <v>28534.16385122011</v>
      </c>
      <c r="K138" s="260">
        <f t="shared" si="21"/>
        <v>44504.765862968401</v>
      </c>
      <c r="L138" s="260">
        <f t="shared" si="21"/>
        <v>69414.130893936919</v>
      </c>
      <c r="M138" s="192"/>
      <c r="N138" s="192"/>
      <c r="O138" s="192"/>
    </row>
    <row r="139" spans="1:15" x14ac:dyDescent="0.2">
      <c r="A139" s="192"/>
      <c r="B139" s="317" t="s">
        <v>362</v>
      </c>
      <c r="C139" s="317"/>
      <c r="D139" s="317"/>
      <c r="E139" s="322"/>
      <c r="F139" s="322"/>
      <c r="G139" s="323"/>
      <c r="H139" s="322">
        <f>H140-H137-H138</f>
        <v>952.08489607673255</v>
      </c>
      <c r="I139" s="322">
        <f>I140-I137-I138</f>
        <v>2757.6266380362722</v>
      </c>
      <c r="J139" s="322">
        <f>J140-J137-J138</f>
        <v>6035.0177535186085</v>
      </c>
      <c r="K139" s="322">
        <f>K140-K137-K138</f>
        <v>8867.8665774972906</v>
      </c>
      <c r="L139" s="322">
        <f>L140-L137-L138</f>
        <v>13118.345667970236</v>
      </c>
      <c r="M139" s="192"/>
      <c r="N139" s="192"/>
      <c r="O139" s="192"/>
    </row>
    <row r="140" spans="1:15" x14ac:dyDescent="0.2">
      <c r="A140" s="192"/>
      <c r="B140" s="216" t="s">
        <v>363</v>
      </c>
      <c r="C140" s="192"/>
      <c r="D140" s="192"/>
      <c r="E140" s="324">
        <f t="shared" ref="E140:L140" si="22">E130-E135</f>
        <v>8653</v>
      </c>
      <c r="F140" s="324">
        <f t="shared" si="22"/>
        <v>16223.5</v>
      </c>
      <c r="G140" s="325">
        <f t="shared" si="22"/>
        <v>14641.401740845478</v>
      </c>
      <c r="H140" s="324">
        <f t="shared" si="22"/>
        <v>21996.865473324495</v>
      </c>
      <c r="I140" s="324">
        <f t="shared" si="22"/>
        <v>33237.768834055816</v>
      </c>
      <c r="J140" s="324">
        <f t="shared" si="22"/>
        <v>50509.421438377729</v>
      </c>
      <c r="K140" s="324">
        <f t="shared" si="22"/>
        <v>74224.556757421597</v>
      </c>
      <c r="L140" s="324">
        <f t="shared" si="22"/>
        <v>109809.52836651576</v>
      </c>
      <c r="M140" s="192"/>
      <c r="N140" s="192"/>
      <c r="O140" s="192"/>
    </row>
    <row r="141" spans="1:15" x14ac:dyDescent="0.2">
      <c r="A141" s="192"/>
      <c r="B141" s="192"/>
      <c r="C141" s="192"/>
      <c r="D141" s="192"/>
      <c r="E141" s="192"/>
      <c r="F141" s="192"/>
      <c r="G141" s="294"/>
      <c r="H141" s="192"/>
      <c r="I141" s="192"/>
      <c r="J141" s="192"/>
      <c r="K141" s="192"/>
      <c r="L141" s="192"/>
      <c r="M141" s="192"/>
      <c r="N141" s="192"/>
      <c r="O141" s="192"/>
    </row>
    <row r="142" spans="1:15" x14ac:dyDescent="0.2">
      <c r="A142" s="192"/>
      <c r="B142" s="192" t="s">
        <v>364</v>
      </c>
      <c r="C142" s="192"/>
      <c r="D142" s="192"/>
      <c r="E142" s="326"/>
      <c r="F142" s="326"/>
      <c r="G142" s="327"/>
      <c r="H142" s="235">
        <f>NVDA!F29</f>
        <v>782.30472265316394</v>
      </c>
      <c r="I142" s="235">
        <f>NVDA!G29</f>
        <v>1183.1549891432173</v>
      </c>
      <c r="J142" s="235">
        <f>NVDA!H29</f>
        <v>1707.519710534867</v>
      </c>
      <c r="K142" s="235">
        <f>NVDA!I29</f>
        <v>2393.4575382622816</v>
      </c>
      <c r="L142" s="235">
        <f>NVDA!J29</f>
        <v>3290.7541799178866</v>
      </c>
      <c r="M142" s="192"/>
      <c r="N142" s="192"/>
      <c r="O142" s="192"/>
    </row>
    <row r="143" spans="1:15" x14ac:dyDescent="0.2">
      <c r="A143" s="192"/>
      <c r="B143" s="192" t="s">
        <v>365</v>
      </c>
      <c r="C143" s="192"/>
      <c r="D143" s="192"/>
      <c r="E143" s="326"/>
      <c r="F143" s="326"/>
      <c r="G143" s="327"/>
      <c r="H143" s="235">
        <f>AMD!F29*(0.5)+AMD!G29*(0.5)</f>
        <v>653.47813286197595</v>
      </c>
      <c r="I143" s="235">
        <f>AMD!G29*(0.5)+AMD!H29*(0.5)</f>
        <v>1174.2715314324805</v>
      </c>
      <c r="J143" s="235">
        <f>AMD!H29*(0.5)+AMD!I29*(0.5)</f>
        <v>1986.5535519329273</v>
      </c>
      <c r="K143" s="235">
        <f>AMD!I29*(0.5)+AMD!J29*(0.5)</f>
        <v>3253.4706876710925</v>
      </c>
      <c r="L143" s="235">
        <f>AMD!J29*(0.5)+AMD!K29*(0.5)</f>
        <v>5229.4826986695734</v>
      </c>
      <c r="M143" s="192"/>
      <c r="N143" s="192"/>
      <c r="O143" s="192"/>
    </row>
    <row r="144" spans="1:15" x14ac:dyDescent="0.2">
      <c r="A144" s="192"/>
      <c r="B144" s="317" t="s">
        <v>366</v>
      </c>
      <c r="C144" s="317"/>
      <c r="D144" s="317"/>
      <c r="E144" s="328"/>
      <c r="F144" s="328"/>
      <c r="G144" s="329"/>
      <c r="H144" s="318">
        <f>$C$66</f>
        <v>37.825000000000003</v>
      </c>
      <c r="I144" s="318">
        <f>$C$66</f>
        <v>37.825000000000003</v>
      </c>
      <c r="J144" s="318">
        <f>$C$66</f>
        <v>37.825000000000003</v>
      </c>
      <c r="K144" s="318">
        <f>$C$66</f>
        <v>37.825000000000003</v>
      </c>
      <c r="L144" s="318">
        <f>$C$66</f>
        <v>37.825000000000003</v>
      </c>
      <c r="M144" s="192"/>
      <c r="N144" s="192"/>
      <c r="O144" s="192"/>
    </row>
    <row r="145" spans="1:15" x14ac:dyDescent="0.2">
      <c r="A145" s="192"/>
      <c r="B145" s="192" t="s">
        <v>178</v>
      </c>
      <c r="C145" s="192"/>
      <c r="D145" s="192"/>
      <c r="E145" s="326"/>
      <c r="F145" s="326"/>
      <c r="G145" s="327"/>
      <c r="H145" s="235">
        <f>SUM(H142:H144)</f>
        <v>1473.60785551514</v>
      </c>
      <c r="I145" s="235">
        <f>SUM(I142:I144)</f>
        <v>2395.2515205756977</v>
      </c>
      <c r="J145" s="235">
        <f>SUM(J142:J144)</f>
        <v>3731.8982624677942</v>
      </c>
      <c r="K145" s="235">
        <f>SUM(K142:K144)</f>
        <v>5684.7532259333739</v>
      </c>
      <c r="L145" s="235">
        <f>SUM(L142:L144)</f>
        <v>8558.0618785874613</v>
      </c>
      <c r="M145" s="192"/>
      <c r="N145" s="192"/>
      <c r="O145" s="192"/>
    </row>
    <row r="146" spans="1:15" x14ac:dyDescent="0.2">
      <c r="A146" s="192"/>
      <c r="B146" s="192"/>
      <c r="C146" s="192"/>
      <c r="D146" s="192"/>
      <c r="E146" s="243"/>
      <c r="F146" s="243"/>
      <c r="G146" s="330"/>
      <c r="H146" s="192"/>
      <c r="I146" s="192"/>
      <c r="J146" s="192"/>
      <c r="K146" s="192"/>
      <c r="L146" s="192"/>
      <c r="M146" s="192"/>
      <c r="N146" s="192"/>
      <c r="O146" s="192"/>
    </row>
    <row r="147" spans="1:15" x14ac:dyDescent="0.2">
      <c r="A147" s="192"/>
      <c r="B147" s="192" t="s">
        <v>367</v>
      </c>
      <c r="C147" s="192"/>
      <c r="D147" s="192"/>
      <c r="E147" s="326"/>
      <c r="F147" s="326"/>
      <c r="G147" s="327"/>
      <c r="H147" s="235">
        <f>NVDA!F30</f>
        <v>699</v>
      </c>
      <c r="I147" s="235">
        <f>NVDA!G30</f>
        <v>699</v>
      </c>
      <c r="J147" s="235">
        <f>NVDA!H30</f>
        <v>699</v>
      </c>
      <c r="K147" s="235">
        <f>NVDA!I30</f>
        <v>699</v>
      </c>
      <c r="L147" s="235">
        <f>NVDA!J30</f>
        <v>699</v>
      </c>
      <c r="M147" s="192"/>
      <c r="N147" s="192"/>
      <c r="O147" s="192"/>
    </row>
    <row r="148" spans="1:15" x14ac:dyDescent="0.2">
      <c r="A148" s="192"/>
      <c r="B148" s="192" t="s">
        <v>368</v>
      </c>
      <c r="C148" s="192"/>
      <c r="D148" s="192"/>
      <c r="E148" s="326"/>
      <c r="F148" s="326"/>
      <c r="G148" s="327"/>
      <c r="H148" s="235">
        <f>AMD!F30*(0.5)+AMD!G30*(0.5)</f>
        <v>2545</v>
      </c>
      <c r="I148" s="235">
        <f>AMD!G30*(0.5)+AMD!H30*(0.5)</f>
        <v>2173.5</v>
      </c>
      <c r="J148" s="235">
        <f>AMD!H30*(0.5)+AMD!I30*(0.5)</f>
        <v>2006</v>
      </c>
      <c r="K148" s="235">
        <f>AMD!I30*(0.5)+AMD!J30*(0.5)</f>
        <v>1897.5</v>
      </c>
      <c r="L148" s="235">
        <f>AMD!J30*(0.5)+AMD!K30*(0.5)</f>
        <v>6911</v>
      </c>
      <c r="M148" s="192"/>
      <c r="N148" s="192"/>
      <c r="O148" s="192"/>
    </row>
    <row r="149" spans="1:15" x14ac:dyDescent="0.2">
      <c r="A149" s="192"/>
      <c r="B149" s="317" t="s">
        <v>369</v>
      </c>
      <c r="C149" s="317"/>
      <c r="D149" s="317"/>
      <c r="E149" s="328"/>
      <c r="F149" s="328"/>
      <c r="G149" s="329"/>
      <c r="H149" s="318">
        <f>$C$74</f>
        <v>2411.8000000000002</v>
      </c>
      <c r="I149" s="318">
        <f>$C$74</f>
        <v>2411.8000000000002</v>
      </c>
      <c r="J149" s="318">
        <f>$C$74</f>
        <v>2411.8000000000002</v>
      </c>
      <c r="K149" s="318">
        <f>$C$74</f>
        <v>2411.8000000000002</v>
      </c>
      <c r="L149" s="318">
        <f>$C$74</f>
        <v>2411.8000000000002</v>
      </c>
      <c r="M149" s="192"/>
      <c r="N149" s="192"/>
      <c r="O149" s="192"/>
    </row>
    <row r="150" spans="1:15" x14ac:dyDescent="0.2">
      <c r="A150" s="192"/>
      <c r="B150" s="192" t="s">
        <v>370</v>
      </c>
      <c r="C150" s="192"/>
      <c r="D150" s="192"/>
      <c r="E150" s="326"/>
      <c r="F150" s="326"/>
      <c r="G150" s="327"/>
      <c r="H150" s="235">
        <f>SUM(H147:H149)</f>
        <v>5655.8</v>
      </c>
      <c r="I150" s="235">
        <f>SUM(I147:I149)</f>
        <v>5284.3</v>
      </c>
      <c r="J150" s="235">
        <f>SUM(J147:J149)</f>
        <v>5116.8</v>
      </c>
      <c r="K150" s="235">
        <f>SUM(K147:K149)</f>
        <v>5008.3</v>
      </c>
      <c r="L150" s="235">
        <f>SUM(L147:L149)</f>
        <v>10021.799999999999</v>
      </c>
      <c r="M150" s="192"/>
      <c r="N150" s="192"/>
      <c r="O150" s="192"/>
    </row>
    <row r="151" spans="1:15" x14ac:dyDescent="0.2">
      <c r="A151" s="192"/>
      <c r="B151" s="192"/>
      <c r="C151" s="192"/>
      <c r="D151" s="192"/>
      <c r="E151" s="243"/>
      <c r="F151" s="243"/>
      <c r="G151" s="330"/>
      <c r="H151" s="192"/>
      <c r="I151" s="192"/>
      <c r="J151" s="192"/>
      <c r="K151" s="192"/>
      <c r="L151" s="192"/>
      <c r="M151" s="192"/>
      <c r="N151" s="192"/>
      <c r="O151" s="192"/>
    </row>
    <row r="152" spans="1:15" x14ac:dyDescent="0.2">
      <c r="A152" s="192"/>
      <c r="B152" s="192" t="s">
        <v>371</v>
      </c>
      <c r="C152" s="192"/>
      <c r="D152" s="192"/>
      <c r="E152" s="331"/>
      <c r="F152" s="331"/>
      <c r="G152" s="332"/>
      <c r="H152" s="235">
        <f t="shared" ref="H152:L153" si="23">H137-H142-H147</f>
        <v>7833.8972197723706</v>
      </c>
      <c r="I152" s="235">
        <f t="shared" si="23"/>
        <v>10303.350870731576</v>
      </c>
      <c r="J152" s="235">
        <f t="shared" si="23"/>
        <v>13533.720123104144</v>
      </c>
      <c r="K152" s="235">
        <f t="shared" si="23"/>
        <v>17759.466778693619</v>
      </c>
      <c r="L152" s="235">
        <f t="shared" si="23"/>
        <v>23287.297624690713</v>
      </c>
      <c r="M152" s="192"/>
      <c r="N152" s="192"/>
      <c r="O152" s="192"/>
    </row>
    <row r="153" spans="1:15" x14ac:dyDescent="0.2">
      <c r="A153" s="199"/>
      <c r="B153" s="192" t="s">
        <v>372</v>
      </c>
      <c r="C153" s="192"/>
      <c r="D153" s="192"/>
      <c r="E153" s="331"/>
      <c r="F153" s="331"/>
      <c r="G153" s="332"/>
      <c r="H153" s="235">
        <f t="shared" si="23"/>
        <v>8531.1005019602526</v>
      </c>
      <c r="I153" s="235">
        <f t="shared" si="23"/>
        <v>14946.86480471227</v>
      </c>
      <c r="J153" s="235">
        <f t="shared" si="23"/>
        <v>24541.610299287182</v>
      </c>
      <c r="K153" s="235">
        <f t="shared" si="23"/>
        <v>39353.795175297309</v>
      </c>
      <c r="L153" s="235">
        <f t="shared" si="23"/>
        <v>57273.648195267349</v>
      </c>
      <c r="M153" s="192"/>
      <c r="N153" s="192"/>
      <c r="O153" s="192"/>
    </row>
    <row r="154" spans="1:15" x14ac:dyDescent="0.2">
      <c r="A154" s="192"/>
      <c r="B154" s="317" t="s">
        <v>373</v>
      </c>
      <c r="C154" s="317"/>
      <c r="D154" s="317"/>
      <c r="E154" s="328"/>
      <c r="F154" s="328"/>
      <c r="G154" s="329"/>
      <c r="H154" s="333">
        <f>H155-H152-H153</f>
        <v>-1497.5401039232675</v>
      </c>
      <c r="I154" s="333">
        <f>I155-I152-I153</f>
        <v>308.00163803627402</v>
      </c>
      <c r="J154" s="333">
        <f>J155-J152-J153</f>
        <v>3585.3927535186049</v>
      </c>
      <c r="K154" s="333">
        <f>K155-K152-K153</f>
        <v>6418.2415774972978</v>
      </c>
      <c r="L154" s="333">
        <f>L155-L152-L153</f>
        <v>10668.720667970236</v>
      </c>
      <c r="M154" s="192"/>
      <c r="N154" s="192"/>
      <c r="O154" s="192"/>
    </row>
    <row r="155" spans="1:15" x14ac:dyDescent="0.2">
      <c r="A155" s="192"/>
      <c r="B155" s="216" t="s">
        <v>374</v>
      </c>
      <c r="C155" s="192"/>
      <c r="D155" s="192"/>
      <c r="E155" s="331"/>
      <c r="F155" s="331"/>
      <c r="G155" s="332"/>
      <c r="H155" s="221">
        <f>H140-H145-H150</f>
        <v>14867.457617809356</v>
      </c>
      <c r="I155" s="221">
        <f>I140-I145-I150</f>
        <v>25558.21731348012</v>
      </c>
      <c r="J155" s="221">
        <f>J140-J145-J150</f>
        <v>41660.72317590993</v>
      </c>
      <c r="K155" s="221">
        <f>K140-K145-K150</f>
        <v>63531.503531488226</v>
      </c>
      <c r="L155" s="221">
        <f>L140-L145-L150</f>
        <v>91229.666487928291</v>
      </c>
      <c r="M155" s="192"/>
      <c r="N155" s="192"/>
      <c r="O155" s="232"/>
    </row>
    <row r="156" spans="1:15" x14ac:dyDescent="0.2">
      <c r="A156" s="192"/>
      <c r="B156" s="192"/>
      <c r="C156" s="192"/>
      <c r="D156" s="192"/>
      <c r="E156" s="334"/>
      <c r="F156" s="334"/>
      <c r="G156" s="335"/>
      <c r="H156" s="192"/>
      <c r="I156" s="192"/>
      <c r="J156" s="192"/>
      <c r="K156" s="192"/>
      <c r="L156" s="192"/>
      <c r="M156" s="192"/>
      <c r="N156" s="192"/>
      <c r="O156" s="192"/>
    </row>
    <row r="157" spans="1:15" x14ac:dyDescent="0.2">
      <c r="A157" s="192"/>
      <c r="B157" s="228" t="s">
        <v>375</v>
      </c>
      <c r="C157" s="228"/>
      <c r="D157" s="192"/>
      <c r="E157" s="331"/>
      <c r="F157" s="331"/>
      <c r="G157" s="332"/>
      <c r="H157" s="260">
        <f ca="1">H290</f>
        <v>11434.646583440019</v>
      </c>
      <c r="I157" s="260">
        <f ca="1">I290</f>
        <v>8346.8590626537898</v>
      </c>
      <c r="J157" s="260">
        <f ca="1">J290</f>
        <v>6225.0928506654882</v>
      </c>
      <c r="K157" s="260">
        <f ca="1">K290</f>
        <v>4430.3489555969772</v>
      </c>
      <c r="L157" s="260">
        <f ca="1">L290</f>
        <v>1960.3524881802828</v>
      </c>
      <c r="M157" s="192"/>
      <c r="N157" s="192"/>
      <c r="O157" s="192"/>
    </row>
    <row r="158" spans="1:15" x14ac:dyDescent="0.2">
      <c r="A158" s="192"/>
      <c r="B158" s="267" t="s">
        <v>376</v>
      </c>
      <c r="C158" s="267"/>
      <c r="D158" s="317"/>
      <c r="E158" s="331"/>
      <c r="F158" s="331"/>
      <c r="G158" s="332"/>
      <c r="H158" s="300">
        <v>0</v>
      </c>
      <c r="I158" s="260">
        <f>H158</f>
        <v>0</v>
      </c>
      <c r="J158" s="260">
        <f>I158</f>
        <v>0</v>
      </c>
      <c r="K158" s="260">
        <f>J158</f>
        <v>0</v>
      </c>
      <c r="L158" s="260">
        <f>K158</f>
        <v>0</v>
      </c>
      <c r="M158" s="192"/>
      <c r="N158" s="192"/>
      <c r="O158" s="192"/>
    </row>
    <row r="159" spans="1:15" x14ac:dyDescent="0.2">
      <c r="A159" s="192"/>
      <c r="B159" s="228" t="s">
        <v>377</v>
      </c>
      <c r="C159" s="228"/>
      <c r="D159" s="192"/>
      <c r="E159" s="336"/>
      <c r="F159" s="336"/>
      <c r="G159" s="337"/>
      <c r="H159" s="338">
        <f ca="1">H155-H157-H158</f>
        <v>3432.811034369337</v>
      </c>
      <c r="I159" s="338">
        <f ca="1">I155-I157-I158</f>
        <v>17211.358250826328</v>
      </c>
      <c r="J159" s="338">
        <f ca="1">J155-J157-J158</f>
        <v>35435.630325244441</v>
      </c>
      <c r="K159" s="338">
        <f ca="1">K155-K157-K158</f>
        <v>59101.154575891247</v>
      </c>
      <c r="L159" s="338">
        <f ca="1">L155-L157-L158</f>
        <v>89269.313999748003</v>
      </c>
      <c r="M159" s="192"/>
      <c r="N159" s="192"/>
      <c r="O159" s="192"/>
    </row>
    <row r="160" spans="1:15" x14ac:dyDescent="0.2">
      <c r="A160" s="192"/>
      <c r="B160" s="267" t="s">
        <v>378</v>
      </c>
      <c r="C160" s="267"/>
      <c r="D160" s="317"/>
      <c r="E160" s="331"/>
      <c r="F160" s="331"/>
      <c r="G160" s="332"/>
      <c r="H160" s="260">
        <f ca="1">H302</f>
        <v>948.64204049958948</v>
      </c>
      <c r="I160" s="260">
        <f ca="1">I302</f>
        <v>2910.8911263442583</v>
      </c>
      <c r="J160" s="260">
        <f ca="1">J302</f>
        <v>8150.2833641408652</v>
      </c>
      <c r="K160" s="260">
        <f ca="1">K302</f>
        <v>14579.211886361929</v>
      </c>
      <c r="L160" s="260">
        <f ca="1">L302</f>
        <v>23000.34341307672</v>
      </c>
      <c r="M160" s="192"/>
      <c r="N160" s="192"/>
      <c r="O160" s="192"/>
    </row>
    <row r="161" spans="1:15" x14ac:dyDescent="0.2">
      <c r="A161" s="228" t="s">
        <v>183</v>
      </c>
      <c r="B161" s="297" t="s">
        <v>35</v>
      </c>
      <c r="C161" s="297"/>
      <c r="D161" s="192"/>
      <c r="E161" s="339"/>
      <c r="F161" s="339"/>
      <c r="G161" s="340"/>
      <c r="H161" s="226">
        <f ca="1">H159-H160</f>
        <v>2484.1689938697473</v>
      </c>
      <c r="I161" s="226">
        <f ca="1">I159-I160</f>
        <v>14300.467124482069</v>
      </c>
      <c r="J161" s="226">
        <f ca="1">J159-J160</f>
        <v>27285.346961103576</v>
      </c>
      <c r="K161" s="226">
        <f ca="1">K159-K160</f>
        <v>44521.942689529315</v>
      </c>
      <c r="L161" s="226">
        <f ca="1">L159-L160</f>
        <v>66268.97058667129</v>
      </c>
      <c r="M161" s="192"/>
      <c r="N161" s="192"/>
      <c r="O161" s="192"/>
    </row>
    <row r="162" spans="1:15" x14ac:dyDescent="0.2">
      <c r="A162" s="192"/>
      <c r="B162" s="192"/>
      <c r="C162" s="192"/>
      <c r="D162" s="192"/>
      <c r="E162" s="192"/>
      <c r="F162" s="192"/>
      <c r="G162" s="294"/>
      <c r="H162" s="192"/>
      <c r="I162" s="192"/>
      <c r="J162" s="192"/>
      <c r="K162" s="192"/>
      <c r="L162" s="192"/>
      <c r="M162" s="192"/>
      <c r="N162" s="192"/>
      <c r="O162" s="192"/>
    </row>
    <row r="163" spans="1:15" x14ac:dyDescent="0.2">
      <c r="A163" s="192"/>
      <c r="B163" s="192"/>
      <c r="C163" s="192"/>
      <c r="D163" s="341" t="s">
        <v>38</v>
      </c>
      <c r="E163" s="192"/>
      <c r="F163" s="192"/>
      <c r="G163" s="294"/>
      <c r="H163" s="192"/>
      <c r="I163" s="192"/>
      <c r="J163" s="192"/>
      <c r="K163" s="192"/>
      <c r="L163" s="192"/>
      <c r="M163" s="192"/>
      <c r="N163" s="192"/>
      <c r="O163" s="192"/>
    </row>
    <row r="164" spans="1:15" x14ac:dyDescent="0.2">
      <c r="A164" s="192"/>
      <c r="B164" s="192"/>
      <c r="C164" s="192"/>
      <c r="D164" s="228" t="s">
        <v>318</v>
      </c>
      <c r="E164" s="342"/>
      <c r="F164" s="343"/>
      <c r="G164" s="294"/>
      <c r="H164" s="192"/>
      <c r="I164" s="192"/>
      <c r="J164" s="192"/>
      <c r="K164" s="192"/>
      <c r="L164" s="192"/>
      <c r="M164" s="192"/>
      <c r="N164" s="192"/>
      <c r="O164" s="192"/>
    </row>
    <row r="165" spans="1:15" x14ac:dyDescent="0.2">
      <c r="A165" s="192"/>
      <c r="B165" s="192"/>
      <c r="C165" s="192"/>
      <c r="D165" s="344" t="s">
        <v>40</v>
      </c>
      <c r="E165" s="345"/>
      <c r="F165" s="346"/>
      <c r="G165" s="347"/>
      <c r="H165" s="348">
        <f>J165*(1/3)</f>
        <v>3.3333333333333333E-2</v>
      </c>
      <c r="I165" s="343">
        <f>J165*(2/3)</f>
        <v>6.6666666666666666E-2</v>
      </c>
      <c r="J165" s="349">
        <v>0.1</v>
      </c>
      <c r="K165" s="343">
        <f t="shared" ref="K165:L168" si="24">J165</f>
        <v>0.1</v>
      </c>
      <c r="L165" s="343">
        <f t="shared" si="24"/>
        <v>0.1</v>
      </c>
      <c r="M165" s="192"/>
      <c r="N165" s="192"/>
      <c r="O165" s="192"/>
    </row>
    <row r="166" spans="1:15" x14ac:dyDescent="0.2">
      <c r="A166" s="192"/>
      <c r="B166" s="192"/>
      <c r="C166" s="192"/>
      <c r="D166" s="344" t="s">
        <v>9</v>
      </c>
      <c r="E166" s="345"/>
      <c r="F166" s="346"/>
      <c r="G166" s="347"/>
      <c r="H166" s="348">
        <f>J166/3</f>
        <v>1.6666666666666666E-2</v>
      </c>
      <c r="I166" s="343">
        <f>J166*(2/3)</f>
        <v>3.3333333333333333E-2</v>
      </c>
      <c r="J166" s="349">
        <v>0.05</v>
      </c>
      <c r="K166" s="343">
        <f t="shared" si="24"/>
        <v>0.05</v>
      </c>
      <c r="L166" s="343">
        <f t="shared" si="24"/>
        <v>0.05</v>
      </c>
      <c r="M166" s="192"/>
      <c r="N166" s="192"/>
      <c r="O166" s="192"/>
    </row>
    <row r="167" spans="1:15" x14ac:dyDescent="0.2">
      <c r="A167" s="192"/>
      <c r="B167" s="192"/>
      <c r="C167" s="192"/>
      <c r="D167" s="344" t="s">
        <v>41</v>
      </c>
      <c r="E167" s="345"/>
      <c r="F167" s="346"/>
      <c r="G167" s="347"/>
      <c r="H167" s="348">
        <f>J167/3</f>
        <v>0</v>
      </c>
      <c r="I167" s="348">
        <f>J167*(2/3)</f>
        <v>0</v>
      </c>
      <c r="J167" s="349">
        <v>0</v>
      </c>
      <c r="K167" s="348">
        <f t="shared" si="24"/>
        <v>0</v>
      </c>
      <c r="L167" s="348">
        <f t="shared" si="24"/>
        <v>0</v>
      </c>
      <c r="M167" s="192"/>
      <c r="N167" s="192"/>
      <c r="O167" s="192"/>
    </row>
    <row r="168" spans="1:15" x14ac:dyDescent="0.2">
      <c r="A168" s="192"/>
      <c r="B168" s="192"/>
      <c r="C168" s="192"/>
      <c r="D168" s="228" t="s">
        <v>42</v>
      </c>
      <c r="E168" s="343"/>
      <c r="F168" s="343"/>
      <c r="G168" s="350"/>
      <c r="H168" s="349">
        <v>0.5</v>
      </c>
      <c r="I168" s="343">
        <f>H168</f>
        <v>0.5</v>
      </c>
      <c r="J168" s="343">
        <f>I168</f>
        <v>0.5</v>
      </c>
      <c r="K168" s="343">
        <f t="shared" si="24"/>
        <v>0.5</v>
      </c>
      <c r="L168" s="343">
        <f t="shared" si="24"/>
        <v>0.5</v>
      </c>
      <c r="M168" s="192"/>
      <c r="N168" s="192"/>
      <c r="O168" s="192"/>
    </row>
    <row r="169" spans="1:15" x14ac:dyDescent="0.2">
      <c r="A169" s="192"/>
      <c r="B169" s="192"/>
      <c r="C169" s="192"/>
      <c r="D169" s="228" t="s">
        <v>321</v>
      </c>
      <c r="E169" s="342"/>
      <c r="F169" s="343"/>
      <c r="G169" s="350"/>
      <c r="H169" s="192"/>
      <c r="I169" s="192"/>
      <c r="J169" s="192"/>
      <c r="K169" s="192"/>
      <c r="L169" s="192"/>
      <c r="M169" s="192"/>
      <c r="N169" s="192"/>
      <c r="O169" s="192"/>
    </row>
    <row r="170" spans="1:15" x14ac:dyDescent="0.2">
      <c r="A170" s="192"/>
      <c r="B170" s="192"/>
      <c r="C170" s="192"/>
      <c r="D170" s="344" t="s">
        <v>40</v>
      </c>
      <c r="E170" s="345"/>
      <c r="F170" s="346"/>
      <c r="G170" s="347"/>
      <c r="H170" s="348">
        <f>J170*(1/3)</f>
        <v>1.6666666666666666E-2</v>
      </c>
      <c r="I170" s="343">
        <f>J170*(2/3)</f>
        <v>3.3333333333333333E-2</v>
      </c>
      <c r="J170" s="349">
        <v>0.05</v>
      </c>
      <c r="K170" s="343">
        <f t="shared" ref="K170:L172" si="25">J170</f>
        <v>0.05</v>
      </c>
      <c r="L170" s="343">
        <f t="shared" si="25"/>
        <v>0.05</v>
      </c>
      <c r="M170" s="192"/>
      <c r="N170" s="192"/>
      <c r="O170" s="192"/>
    </row>
    <row r="171" spans="1:15" x14ac:dyDescent="0.2">
      <c r="A171" s="192"/>
      <c r="B171" s="192"/>
      <c r="C171" s="192"/>
      <c r="D171" s="344" t="s">
        <v>9</v>
      </c>
      <c r="E171" s="345"/>
      <c r="F171" s="346"/>
      <c r="G171" s="347"/>
      <c r="H171" s="348">
        <f>J171/3</f>
        <v>0.01</v>
      </c>
      <c r="I171" s="343">
        <f>J171*(2/3)</f>
        <v>1.9999999999999997E-2</v>
      </c>
      <c r="J171" s="349">
        <v>0.03</v>
      </c>
      <c r="K171" s="343">
        <f t="shared" si="25"/>
        <v>0.03</v>
      </c>
      <c r="L171" s="343">
        <f t="shared" si="25"/>
        <v>0.03</v>
      </c>
      <c r="M171" s="192"/>
      <c r="N171" s="192"/>
      <c r="O171" s="192"/>
    </row>
    <row r="172" spans="1:15" x14ac:dyDescent="0.2">
      <c r="A172" s="228" t="s">
        <v>183</v>
      </c>
      <c r="B172" s="192"/>
      <c r="C172" s="192"/>
      <c r="D172" s="344" t="s">
        <v>41</v>
      </c>
      <c r="E172" s="345"/>
      <c r="F172" s="346"/>
      <c r="G172" s="347"/>
      <c r="H172" s="348">
        <f>J172/3</f>
        <v>3.3333333333333335E-3</v>
      </c>
      <c r="I172" s="348">
        <f>J172*(2/3)</f>
        <v>6.6666666666666662E-3</v>
      </c>
      <c r="J172" s="349">
        <v>0.01</v>
      </c>
      <c r="K172" s="348">
        <f t="shared" si="25"/>
        <v>0.01</v>
      </c>
      <c r="L172" s="348">
        <f t="shared" si="25"/>
        <v>0.01</v>
      </c>
      <c r="M172" s="192"/>
      <c r="N172" s="192"/>
      <c r="O172" s="192"/>
    </row>
    <row r="173" spans="1:15" x14ac:dyDescent="0.2">
      <c r="A173" s="192"/>
      <c r="B173" s="192"/>
      <c r="C173" s="192"/>
      <c r="D173" s="344"/>
      <c r="E173" s="345"/>
      <c r="F173" s="346"/>
      <c r="G173" s="346"/>
      <c r="H173" s="348"/>
      <c r="I173" s="348"/>
      <c r="J173" s="349"/>
      <c r="K173" s="348"/>
      <c r="L173" s="348"/>
      <c r="M173" s="192"/>
      <c r="N173" s="192"/>
      <c r="O173" s="192"/>
    </row>
    <row r="174" spans="1:15" x14ac:dyDescent="0.2">
      <c r="A174" s="192"/>
      <c r="B174" s="200" t="s">
        <v>79</v>
      </c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192"/>
      <c r="N174" s="192"/>
      <c r="O174" s="192"/>
    </row>
    <row r="175" spans="1:15" x14ac:dyDescent="0.2">
      <c r="A175" s="192"/>
      <c r="B175" s="192"/>
      <c r="C175" s="192"/>
      <c r="D175" s="344"/>
      <c r="E175" s="274">
        <f>F175-1</f>
        <v>2020</v>
      </c>
      <c r="F175" s="274">
        <f>G175-1</f>
        <v>2021</v>
      </c>
      <c r="G175" s="274">
        <f>YEAR(C21)</f>
        <v>2022</v>
      </c>
      <c r="H175" s="351">
        <f>G175+1</f>
        <v>2023</v>
      </c>
      <c r="I175" s="279">
        <f>H175+1</f>
        <v>2024</v>
      </c>
      <c r="J175" s="279">
        <f>I175+1</f>
        <v>2025</v>
      </c>
      <c r="K175" s="279">
        <f>J175+1</f>
        <v>2026</v>
      </c>
      <c r="L175" s="279">
        <f>K175+1</f>
        <v>2027</v>
      </c>
      <c r="M175" s="192"/>
      <c r="N175" s="192"/>
      <c r="O175" s="192"/>
    </row>
    <row r="176" spans="1:15" x14ac:dyDescent="0.2">
      <c r="A176" s="192"/>
      <c r="B176" s="196" t="s">
        <v>80</v>
      </c>
      <c r="C176" s="192"/>
      <c r="D176" s="344"/>
      <c r="E176" s="345"/>
      <c r="F176" s="346"/>
      <c r="G176" s="346"/>
      <c r="H176" s="352"/>
      <c r="I176" s="348"/>
      <c r="J176" s="349"/>
      <c r="K176" s="348"/>
      <c r="L176" s="348"/>
      <c r="M176" s="192"/>
      <c r="N176" s="192"/>
      <c r="O176" s="192"/>
    </row>
    <row r="177" spans="1:15" x14ac:dyDescent="0.2">
      <c r="A177" s="192"/>
      <c r="B177" s="192" t="s">
        <v>292</v>
      </c>
      <c r="C177" s="192"/>
      <c r="D177" s="344"/>
      <c r="E177" s="345"/>
      <c r="F177" s="346"/>
      <c r="G177" s="353">
        <f>G82</f>
        <v>7955</v>
      </c>
      <c r="H177" s="354">
        <f t="shared" ref="H177:K177" si="26">H120*(H189/365)</f>
        <v>11885.175320336321</v>
      </c>
      <c r="I177" s="289">
        <f t="shared" si="26"/>
        <v>17539.816873301039</v>
      </c>
      <c r="J177" s="289">
        <f t="shared" si="26"/>
        <v>26068.258607668562</v>
      </c>
      <c r="K177" s="289">
        <f t="shared" si="26"/>
        <v>38395.817033109997</v>
      </c>
      <c r="L177" s="289">
        <f>L120*(L189/365)</f>
        <v>56925.861178772633</v>
      </c>
      <c r="M177" s="192"/>
      <c r="N177" s="192"/>
      <c r="O177" s="192"/>
    </row>
    <row r="178" spans="1:15" x14ac:dyDescent="0.2">
      <c r="A178" s="192"/>
      <c r="B178" s="192" t="s">
        <v>50</v>
      </c>
      <c r="C178" s="192"/>
      <c r="D178" s="344"/>
      <c r="E178" s="345"/>
      <c r="F178" s="346"/>
      <c r="G178" s="353">
        <f>G83</f>
        <v>8930</v>
      </c>
      <c r="H178" s="354">
        <f t="shared" ref="H178:K178" si="27">H125/H190</f>
        <v>18177.568709765063</v>
      </c>
      <c r="I178" s="289">
        <f t="shared" si="27"/>
        <v>27126.502261288028</v>
      </c>
      <c r="J178" s="289">
        <f t="shared" si="27"/>
        <v>40736.014204042083</v>
      </c>
      <c r="K178" s="289">
        <f t="shared" si="27"/>
        <v>60436.317121342472</v>
      </c>
      <c r="L178" s="289">
        <f>L125/L190</f>
        <v>90207.79027110996</v>
      </c>
      <c r="M178" s="192"/>
      <c r="N178" s="192"/>
      <c r="O178" s="192"/>
    </row>
    <row r="179" spans="1:15" x14ac:dyDescent="0.2">
      <c r="A179" s="192"/>
      <c r="B179" s="317" t="s">
        <v>293</v>
      </c>
      <c r="C179" s="317"/>
      <c r="D179" s="355"/>
      <c r="E179" s="356"/>
      <c r="F179" s="357"/>
      <c r="G179" s="358">
        <f>G84</f>
        <v>11963</v>
      </c>
      <c r="H179" s="359">
        <f t="shared" ref="H179:K179" si="28">H120*H191</f>
        <v>2456.5387192019934</v>
      </c>
      <c r="I179" s="360">
        <f t="shared" si="28"/>
        <v>3625.2926957881168</v>
      </c>
      <c r="J179" s="360">
        <f t="shared" si="28"/>
        <v>5388.0304569286218</v>
      </c>
      <c r="K179" s="360">
        <f t="shared" si="28"/>
        <v>7936.0050361092253</v>
      </c>
      <c r="L179" s="360">
        <f>L120*L191</f>
        <v>11765.967126315431</v>
      </c>
      <c r="M179" s="192"/>
      <c r="N179" s="192"/>
      <c r="O179" s="192"/>
    </row>
    <row r="180" spans="1:15" x14ac:dyDescent="0.2">
      <c r="A180" s="192"/>
      <c r="B180" s="192" t="s">
        <v>379</v>
      </c>
      <c r="C180" s="192"/>
      <c r="D180" s="344"/>
      <c r="E180" s="345"/>
      <c r="F180" s="346"/>
      <c r="G180" s="353">
        <f>SUM(G177:G179)</f>
        <v>28848</v>
      </c>
      <c r="H180" s="361">
        <f t="shared" ref="H180:K180" si="29">SUM(H177:H179)</f>
        <v>32519.282749303376</v>
      </c>
      <c r="I180" s="362">
        <f t="shared" si="29"/>
        <v>48291.61183037718</v>
      </c>
      <c r="J180" s="362">
        <f t="shared" si="29"/>
        <v>72192.303268639269</v>
      </c>
      <c r="K180" s="362">
        <f t="shared" si="29"/>
        <v>106768.13919056171</v>
      </c>
      <c r="L180" s="362">
        <f>SUM(L177:L179)</f>
        <v>158899.61857619803</v>
      </c>
      <c r="M180" s="192"/>
      <c r="N180" s="192"/>
      <c r="O180" s="192"/>
    </row>
    <row r="181" spans="1:15" x14ac:dyDescent="0.2">
      <c r="A181" s="192"/>
      <c r="B181" s="192"/>
      <c r="C181" s="192"/>
      <c r="D181" s="344"/>
      <c r="E181" s="345"/>
      <c r="F181" s="346"/>
      <c r="G181" s="353"/>
      <c r="H181" s="354"/>
      <c r="I181" s="289"/>
      <c r="J181" s="289"/>
      <c r="K181" s="289"/>
      <c r="L181" s="289"/>
      <c r="M181" s="192"/>
      <c r="N181" s="192"/>
      <c r="O181" s="192"/>
    </row>
    <row r="182" spans="1:15" x14ac:dyDescent="0.2">
      <c r="A182" s="192"/>
      <c r="B182" s="192" t="s">
        <v>300</v>
      </c>
      <c r="C182" s="192"/>
      <c r="D182" s="344"/>
      <c r="E182" s="345"/>
      <c r="F182" s="346"/>
      <c r="G182" s="353">
        <f>G96</f>
        <v>3686</v>
      </c>
      <c r="H182" s="354">
        <f>H125*(H193/365)</f>
        <v>4203.4966991179917</v>
      </c>
      <c r="I182" s="289">
        <f t="shared" ref="I182:K182" si="30">I125*(I193/365)</f>
        <v>6272.9050586773819</v>
      </c>
      <c r="J182" s="289">
        <f t="shared" si="30"/>
        <v>9420.0552326850557</v>
      </c>
      <c r="K182" s="289">
        <f t="shared" si="30"/>
        <v>13975.678683031898</v>
      </c>
      <c r="L182" s="289">
        <f>L125*(L193/365)</f>
        <v>20860.223646721104</v>
      </c>
      <c r="M182" s="192"/>
      <c r="N182" s="192"/>
      <c r="O182" s="192"/>
    </row>
    <row r="183" spans="1:15" x14ac:dyDescent="0.2">
      <c r="A183" s="192"/>
      <c r="B183" s="317" t="s">
        <v>301</v>
      </c>
      <c r="C183" s="317"/>
      <c r="D183" s="355"/>
      <c r="E183" s="356"/>
      <c r="F183" s="357"/>
      <c r="G183" s="358">
        <f>G97</f>
        <v>7996</v>
      </c>
      <c r="H183" s="359">
        <f t="shared" ref="H183:K183" si="31">H125*H194</f>
        <v>14516.686001983342</v>
      </c>
      <c r="I183" s="360">
        <f t="shared" si="31"/>
        <v>21663.343538768495</v>
      </c>
      <c r="J183" s="360">
        <f t="shared" si="31"/>
        <v>32531.959395358281</v>
      </c>
      <c r="K183" s="360">
        <f t="shared" si="31"/>
        <v>48264.707606111835</v>
      </c>
      <c r="L183" s="360">
        <f>L125*L194</f>
        <v>72040.336483227962</v>
      </c>
      <c r="M183" s="192"/>
      <c r="N183" s="192"/>
      <c r="O183" s="192"/>
    </row>
    <row r="184" spans="1:15" x14ac:dyDescent="0.2">
      <c r="A184" s="192"/>
      <c r="B184" s="192" t="s">
        <v>380</v>
      </c>
      <c r="C184" s="192"/>
      <c r="D184" s="344"/>
      <c r="E184" s="345"/>
      <c r="F184" s="346"/>
      <c r="G184" s="353">
        <f>SUM(G182:G183)</f>
        <v>11682</v>
      </c>
      <c r="H184" s="354">
        <f t="shared" ref="H184:K184" si="32">SUM(H182:H183)</f>
        <v>18720.182701101334</v>
      </c>
      <c r="I184" s="289">
        <f t="shared" si="32"/>
        <v>27936.248597445876</v>
      </c>
      <c r="J184" s="289">
        <f t="shared" si="32"/>
        <v>41952.01462804334</v>
      </c>
      <c r="K184" s="289">
        <f t="shared" si="32"/>
        <v>62240.386289143731</v>
      </c>
      <c r="L184" s="289">
        <f>SUM(L182:L183)</f>
        <v>92900.560129949066</v>
      </c>
      <c r="M184" s="192"/>
      <c r="N184" s="192"/>
      <c r="O184" s="192"/>
    </row>
    <row r="185" spans="1:15" x14ac:dyDescent="0.2">
      <c r="A185" s="192"/>
      <c r="B185" s="192"/>
      <c r="C185" s="192"/>
      <c r="D185" s="344"/>
      <c r="E185" s="345"/>
      <c r="F185" s="346"/>
      <c r="G185" s="353"/>
      <c r="H185" s="354"/>
      <c r="I185" s="289"/>
      <c r="J185" s="289"/>
      <c r="K185" s="289"/>
      <c r="L185" s="289"/>
      <c r="M185" s="192"/>
      <c r="N185" s="192"/>
      <c r="O185" s="192"/>
    </row>
    <row r="186" spans="1:15" x14ac:dyDescent="0.2">
      <c r="A186" s="192"/>
      <c r="B186" s="192" t="s">
        <v>381</v>
      </c>
      <c r="C186" s="192"/>
      <c r="D186" s="344"/>
      <c r="E186" s="345"/>
      <c r="F186" s="346"/>
      <c r="G186" s="353">
        <f>G180-G184</f>
        <v>17166</v>
      </c>
      <c r="H186" s="354">
        <f t="shared" ref="H186:K186" si="33">H180-H184</f>
        <v>13799.100048202043</v>
      </c>
      <c r="I186" s="289">
        <f t="shared" si="33"/>
        <v>20355.363232931304</v>
      </c>
      <c r="J186" s="289">
        <f t="shared" si="33"/>
        <v>30240.288640595929</v>
      </c>
      <c r="K186" s="289">
        <f t="shared" si="33"/>
        <v>44527.752901417974</v>
      </c>
      <c r="L186" s="289">
        <f>L180-L184</f>
        <v>65999.058446248964</v>
      </c>
      <c r="M186" s="192"/>
      <c r="N186" s="192"/>
      <c r="O186" s="192"/>
    </row>
    <row r="187" spans="1:15" x14ac:dyDescent="0.2">
      <c r="A187" s="192"/>
      <c r="B187" s="216" t="s">
        <v>382</v>
      </c>
      <c r="C187" s="192"/>
      <c r="D187" s="344"/>
      <c r="E187" s="345"/>
      <c r="F187" s="346"/>
      <c r="G187" s="346"/>
      <c r="H187" s="363">
        <f t="shared" ref="H187:K187" si="34">H186-G186</f>
        <v>-3366.8999517979573</v>
      </c>
      <c r="I187" s="364">
        <f t="shared" si="34"/>
        <v>6556.2631847292614</v>
      </c>
      <c r="J187" s="364">
        <f t="shared" si="34"/>
        <v>9884.9254076646248</v>
      </c>
      <c r="K187" s="364">
        <f t="shared" si="34"/>
        <v>14287.464260822046</v>
      </c>
      <c r="L187" s="364">
        <f>L186-K186</f>
        <v>21471.30554483099</v>
      </c>
      <c r="M187" s="192"/>
      <c r="N187" s="192"/>
      <c r="O187" s="192"/>
    </row>
    <row r="188" spans="1:15" x14ac:dyDescent="0.2">
      <c r="A188" s="192"/>
      <c r="B188" s="196" t="s">
        <v>38</v>
      </c>
      <c r="C188" s="192"/>
      <c r="D188" s="344"/>
      <c r="E188" s="345"/>
      <c r="F188" s="346"/>
      <c r="G188" s="346"/>
      <c r="H188" s="365"/>
      <c r="I188" s="366"/>
      <c r="J188" s="367"/>
      <c r="K188" s="366"/>
      <c r="L188" s="366"/>
      <c r="M188" s="192"/>
      <c r="N188" s="192"/>
      <c r="O188" s="192"/>
    </row>
    <row r="189" spans="1:15" x14ac:dyDescent="0.2">
      <c r="A189" s="192"/>
      <c r="B189" s="192" t="s">
        <v>383</v>
      </c>
      <c r="C189" s="192"/>
      <c r="D189" s="344"/>
      <c r="E189" s="345"/>
      <c r="F189" s="346"/>
      <c r="G189" s="260">
        <f>H189</f>
        <v>51.785237636242307</v>
      </c>
      <c r="H189" s="368">
        <f>NVDA!F112</f>
        <v>51.785237636242307</v>
      </c>
      <c r="I189" s="289">
        <f>H189</f>
        <v>51.785237636242307</v>
      </c>
      <c r="J189" s="289">
        <f t="shared" ref="J189:L189" si="35">I189</f>
        <v>51.785237636242307</v>
      </c>
      <c r="K189" s="289">
        <f t="shared" si="35"/>
        <v>51.785237636242307</v>
      </c>
      <c r="L189" s="289">
        <f t="shared" si="35"/>
        <v>51.785237636242307</v>
      </c>
      <c r="M189" s="192"/>
      <c r="N189" s="192"/>
      <c r="O189" s="192"/>
    </row>
    <row r="190" spans="1:15" x14ac:dyDescent="0.2">
      <c r="A190" s="192"/>
      <c r="B190" s="192" t="s">
        <v>88</v>
      </c>
      <c r="C190" s="192"/>
      <c r="D190" s="344"/>
      <c r="E190" s="345"/>
      <c r="F190" s="346"/>
      <c r="G190" s="369">
        <f>H190</f>
        <v>1.9527040124055048</v>
      </c>
      <c r="H190" s="370">
        <f>NVDA!F113</f>
        <v>1.9527040124055048</v>
      </c>
      <c r="I190" s="371">
        <f>H190</f>
        <v>1.9527040124055048</v>
      </c>
      <c r="J190" s="371">
        <f t="shared" ref="J190:L190" si="36">I190</f>
        <v>1.9527040124055048</v>
      </c>
      <c r="K190" s="371">
        <f t="shared" si="36"/>
        <v>1.9527040124055048</v>
      </c>
      <c r="L190" s="371">
        <f t="shared" si="36"/>
        <v>1.9527040124055048</v>
      </c>
      <c r="M190" s="192"/>
      <c r="N190" s="192"/>
      <c r="O190" s="192"/>
    </row>
    <row r="191" spans="1:15" x14ac:dyDescent="0.2">
      <c r="A191" s="192"/>
      <c r="B191" s="192" t="s">
        <v>384</v>
      </c>
      <c r="C191" s="192"/>
      <c r="D191" s="344"/>
      <c r="E191" s="345"/>
      <c r="F191" s="346"/>
      <c r="G191" s="348">
        <f>H191</f>
        <v>2.9324534737154295E-2</v>
      </c>
      <c r="H191" s="372">
        <f>NVDA!F114</f>
        <v>2.9324534737154295E-2</v>
      </c>
      <c r="I191" s="366">
        <f>H191</f>
        <v>2.9324534737154295E-2</v>
      </c>
      <c r="J191" s="366">
        <f t="shared" ref="J191:L191" si="37">I191</f>
        <v>2.9324534737154295E-2</v>
      </c>
      <c r="K191" s="366">
        <f t="shared" si="37"/>
        <v>2.9324534737154295E-2</v>
      </c>
      <c r="L191" s="366">
        <f t="shared" si="37"/>
        <v>2.9324534737154295E-2</v>
      </c>
      <c r="M191" s="192"/>
      <c r="N191" s="192"/>
      <c r="O191" s="192"/>
    </row>
    <row r="192" spans="1:15" x14ac:dyDescent="0.2">
      <c r="A192" s="192"/>
      <c r="B192" s="192"/>
      <c r="C192" s="192"/>
      <c r="D192" s="344"/>
      <c r="E192" s="345"/>
      <c r="F192" s="346"/>
      <c r="G192" s="348"/>
      <c r="H192" s="372"/>
      <c r="I192" s="366"/>
      <c r="J192" s="366"/>
      <c r="K192" s="366"/>
      <c r="L192" s="366"/>
      <c r="M192" s="192"/>
      <c r="N192" s="192"/>
      <c r="O192" s="192"/>
    </row>
    <row r="193" spans="1:15" x14ac:dyDescent="0.2">
      <c r="A193" s="192"/>
      <c r="B193" s="192" t="s">
        <v>385</v>
      </c>
      <c r="C193" s="192"/>
      <c r="D193" s="344"/>
      <c r="E193" s="345"/>
      <c r="F193" s="346"/>
      <c r="G193" s="260">
        <f>H193</f>
        <v>43.224637681159422</v>
      </c>
      <c r="H193" s="368">
        <f>NVDA!F116</f>
        <v>43.224637681159422</v>
      </c>
      <c r="I193" s="289">
        <f>H193</f>
        <v>43.224637681159422</v>
      </c>
      <c r="J193" s="289">
        <f t="shared" ref="J193:L193" si="38">I193</f>
        <v>43.224637681159422</v>
      </c>
      <c r="K193" s="289">
        <f t="shared" si="38"/>
        <v>43.224637681159422</v>
      </c>
      <c r="L193" s="289">
        <f t="shared" si="38"/>
        <v>43.224637681159422</v>
      </c>
      <c r="M193" s="192"/>
      <c r="N193" s="192"/>
      <c r="O193" s="192"/>
    </row>
    <row r="194" spans="1:15" x14ac:dyDescent="0.2">
      <c r="A194" s="228" t="s">
        <v>183</v>
      </c>
      <c r="B194" s="192" t="s">
        <v>386</v>
      </c>
      <c r="C194" s="192"/>
      <c r="D194" s="344"/>
      <c r="E194" s="345"/>
      <c r="F194" s="346"/>
      <c r="G194" s="348">
        <f>H194</f>
        <v>0.40897359539408379</v>
      </c>
      <c r="H194" s="372">
        <f>NVDA!F117</f>
        <v>0.40897359539408379</v>
      </c>
      <c r="I194" s="366">
        <f>H194</f>
        <v>0.40897359539408379</v>
      </c>
      <c r="J194" s="366">
        <f t="shared" ref="J194:L194" si="39">I194</f>
        <v>0.40897359539408379</v>
      </c>
      <c r="K194" s="366">
        <f t="shared" si="39"/>
        <v>0.40897359539408379</v>
      </c>
      <c r="L194" s="366">
        <f t="shared" si="39"/>
        <v>0.40897359539408379</v>
      </c>
      <c r="M194" s="192"/>
      <c r="N194" s="192"/>
      <c r="O194" s="192"/>
    </row>
    <row r="195" spans="1:15" x14ac:dyDescent="0.2">
      <c r="A195" s="192"/>
      <c r="B195" s="192"/>
      <c r="C195" s="192"/>
      <c r="D195" s="344"/>
      <c r="E195" s="345"/>
      <c r="F195" s="346"/>
      <c r="G195" s="346"/>
      <c r="H195" s="348"/>
      <c r="I195" s="348"/>
      <c r="J195" s="349"/>
      <c r="K195" s="348"/>
      <c r="L195" s="348"/>
      <c r="M195" s="192"/>
      <c r="N195" s="192"/>
      <c r="O195" s="192"/>
    </row>
    <row r="196" spans="1:15" x14ac:dyDescent="0.2">
      <c r="A196" s="192"/>
      <c r="B196" s="192"/>
      <c r="C196" s="192"/>
      <c r="D196" s="344"/>
      <c r="E196" s="345"/>
      <c r="F196" s="346"/>
      <c r="G196" s="346"/>
      <c r="H196" s="348"/>
      <c r="I196" s="348"/>
      <c r="J196" s="349"/>
      <c r="K196" s="348"/>
      <c r="L196" s="348"/>
      <c r="M196" s="192"/>
      <c r="N196" s="192"/>
      <c r="O196" s="192"/>
    </row>
    <row r="197" spans="1:15" x14ac:dyDescent="0.2">
      <c r="A197" s="199"/>
      <c r="B197" s="200" t="s">
        <v>101</v>
      </c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192"/>
      <c r="N197" s="192"/>
      <c r="O197" s="192"/>
    </row>
    <row r="198" spans="1:15" x14ac:dyDescent="0.2">
      <c r="A198" s="192"/>
      <c r="B198" s="192"/>
      <c r="C198" s="192"/>
      <c r="D198" s="192"/>
      <c r="E198" s="373">
        <f>F198-1</f>
        <v>2020</v>
      </c>
      <c r="F198" s="373">
        <f>G198-1</f>
        <v>2021</v>
      </c>
      <c r="G198" s="313">
        <f>YEAR(C21)</f>
        <v>2022</v>
      </c>
      <c r="H198" s="279">
        <f>G198+1</f>
        <v>2023</v>
      </c>
      <c r="I198" s="279">
        <f>H198+1</f>
        <v>2024</v>
      </c>
      <c r="J198" s="279">
        <f>I198+1</f>
        <v>2025</v>
      </c>
      <c r="K198" s="279">
        <f>J198+1</f>
        <v>2026</v>
      </c>
      <c r="L198" s="279">
        <f>K198+1</f>
        <v>2027</v>
      </c>
      <c r="M198" s="192"/>
      <c r="N198" s="192"/>
      <c r="O198" s="192"/>
    </row>
    <row r="199" spans="1:15" x14ac:dyDescent="0.2">
      <c r="A199" s="192"/>
      <c r="B199" s="228" t="s">
        <v>35</v>
      </c>
      <c r="C199" s="228"/>
      <c r="D199" s="192"/>
      <c r="E199" s="374"/>
      <c r="F199" s="374"/>
      <c r="G199" s="375"/>
      <c r="H199" s="376">
        <f ca="1">H161</f>
        <v>2484.1689938697473</v>
      </c>
      <c r="I199" s="283">
        <f ca="1">I161</f>
        <v>14300.467124482069</v>
      </c>
      <c r="J199" s="283">
        <f ca="1">J161</f>
        <v>27285.346961103576</v>
      </c>
      <c r="K199" s="283">
        <f ca="1">K161</f>
        <v>44521.942689529315</v>
      </c>
      <c r="L199" s="283">
        <f ca="1">L161</f>
        <v>66268.97058667129</v>
      </c>
      <c r="M199" s="192"/>
      <c r="N199" s="192"/>
      <c r="O199" s="192"/>
    </row>
    <row r="200" spans="1:15" x14ac:dyDescent="0.2">
      <c r="A200" s="192"/>
      <c r="B200" s="377" t="s">
        <v>387</v>
      </c>
      <c r="C200" s="228"/>
      <c r="D200" s="192"/>
      <c r="E200" s="378"/>
      <c r="F200" s="378"/>
      <c r="G200" s="379"/>
      <c r="H200" s="235">
        <f>H145</f>
        <v>1473.60785551514</v>
      </c>
      <c r="I200" s="235">
        <f>I145</f>
        <v>2395.2515205756977</v>
      </c>
      <c r="J200" s="235">
        <f>J145</f>
        <v>3731.8982624677942</v>
      </c>
      <c r="K200" s="235">
        <f>K145</f>
        <v>5684.7532259333739</v>
      </c>
      <c r="L200" s="235">
        <f>L145</f>
        <v>8558.0618785874613</v>
      </c>
      <c r="M200" s="380"/>
      <c r="N200" s="192"/>
      <c r="O200" s="192"/>
    </row>
    <row r="201" spans="1:15" x14ac:dyDescent="0.2">
      <c r="A201" s="192"/>
      <c r="B201" s="377" t="s">
        <v>388</v>
      </c>
      <c r="C201" s="228"/>
      <c r="D201" s="192"/>
      <c r="E201" s="378"/>
      <c r="F201" s="378"/>
      <c r="G201" s="379"/>
      <c r="H201" s="235">
        <f>H150</f>
        <v>5655.8</v>
      </c>
      <c r="I201" s="235">
        <f>I150</f>
        <v>5284.3</v>
      </c>
      <c r="J201" s="235">
        <f>J150</f>
        <v>5116.8</v>
      </c>
      <c r="K201" s="235">
        <f>K150</f>
        <v>5008.3</v>
      </c>
      <c r="L201" s="235">
        <f>L150</f>
        <v>10021.799999999999</v>
      </c>
      <c r="M201" s="380"/>
      <c r="N201" s="192"/>
      <c r="O201" s="192"/>
    </row>
    <row r="202" spans="1:15" x14ac:dyDescent="0.2">
      <c r="A202" s="192"/>
      <c r="B202" s="377" t="s">
        <v>389</v>
      </c>
      <c r="C202" s="228"/>
      <c r="D202" s="192"/>
      <c r="E202" s="378"/>
      <c r="F202" s="378"/>
      <c r="G202" s="379"/>
      <c r="H202" s="260">
        <f>-H187</f>
        <v>3366.8999517979573</v>
      </c>
      <c r="I202" s="260">
        <f>-I187</f>
        <v>-6556.2631847292614</v>
      </c>
      <c r="J202" s="260">
        <f>-J187</f>
        <v>-9884.9254076646248</v>
      </c>
      <c r="K202" s="260">
        <f>-K187</f>
        <v>-14287.464260822046</v>
      </c>
      <c r="L202" s="260">
        <f>-L187</f>
        <v>-21471.30554483099</v>
      </c>
      <c r="M202" s="192"/>
      <c r="N202" s="192"/>
      <c r="O202" s="192"/>
    </row>
    <row r="203" spans="1:15" x14ac:dyDescent="0.2">
      <c r="A203" s="192"/>
      <c r="B203" s="377" t="s">
        <v>390</v>
      </c>
      <c r="C203" s="228"/>
      <c r="D203" s="192"/>
      <c r="E203" s="378"/>
      <c r="F203" s="378"/>
      <c r="G203" s="379"/>
      <c r="H203" s="260">
        <f ca="1">H286</f>
        <v>442.64390909090923</v>
      </c>
      <c r="I203" s="260">
        <f ca="1">I286</f>
        <v>442.64390909090923</v>
      </c>
      <c r="J203" s="260">
        <f ca="1">J286</f>
        <v>442.64390909090923</v>
      </c>
      <c r="K203" s="260">
        <f ca="1">K286</f>
        <v>442.64390909090923</v>
      </c>
      <c r="L203" s="260">
        <f ca="1">L286</f>
        <v>442.64390909090923</v>
      </c>
      <c r="M203" s="192"/>
      <c r="N203" s="192"/>
      <c r="O203" s="192"/>
    </row>
    <row r="204" spans="1:15" x14ac:dyDescent="0.2">
      <c r="A204" s="192"/>
      <c r="B204" s="297" t="s">
        <v>103</v>
      </c>
      <c r="C204" s="297"/>
      <c r="D204" s="192"/>
      <c r="E204" s="378"/>
      <c r="F204" s="378"/>
      <c r="G204" s="379"/>
      <c r="H204" s="226">
        <f ca="1">SUM(H199:H203)</f>
        <v>13423.120710273755</v>
      </c>
      <c r="I204" s="226">
        <f ca="1">SUM(I199:I203)</f>
        <v>15866.399369419416</v>
      </c>
      <c r="J204" s="226">
        <f ca="1">SUM(J199:J203)</f>
        <v>26691.763724997658</v>
      </c>
      <c r="K204" s="226">
        <f ca="1">SUM(K199:K203)</f>
        <v>41370.175563731558</v>
      </c>
      <c r="L204" s="226">
        <f ca="1">SUM(L199:L203)</f>
        <v>63820.170829518684</v>
      </c>
      <c r="M204" s="192"/>
      <c r="N204" s="192"/>
      <c r="O204" s="192"/>
    </row>
    <row r="205" spans="1:15" x14ac:dyDescent="0.2">
      <c r="A205" s="192"/>
      <c r="B205" s="228"/>
      <c r="C205" s="228"/>
      <c r="D205" s="192"/>
      <c r="E205" s="378"/>
      <c r="F205" s="378"/>
      <c r="G205" s="379"/>
      <c r="H205" s="235"/>
      <c r="I205" s="235"/>
      <c r="J205" s="235"/>
      <c r="K205" s="235"/>
      <c r="L205" s="235"/>
      <c r="M205" s="192"/>
      <c r="N205" s="192"/>
      <c r="O205" s="192"/>
    </row>
    <row r="206" spans="1:15" x14ac:dyDescent="0.2">
      <c r="A206" s="192"/>
      <c r="B206" s="228" t="s">
        <v>94</v>
      </c>
      <c r="C206" s="228"/>
      <c r="D206" s="192"/>
      <c r="E206" s="378"/>
      <c r="F206" s="378"/>
      <c r="G206" s="379"/>
      <c r="H206" s="223">
        <f>NVDA!F145+AMD!F123*(0.5)+AMD!G123*(0.5)</f>
        <v>-3104.915914087288</v>
      </c>
      <c r="I206" s="223">
        <f>NVDA!G145+AMD!G123*(0.5)+AMD!H123*(0.5)</f>
        <v>-4381.0736633529077</v>
      </c>
      <c r="J206" s="223">
        <f>NVDA!H145+AMD!H123*(0.5)+AMD!I123*(0.5)</f>
        <v>-6181.4713230661246</v>
      </c>
      <c r="K206" s="223">
        <f>NVDA!I145+AMD!I123*(0.5)+AMD!J123*(0.5)</f>
        <v>-8740.9733094904095</v>
      </c>
      <c r="L206" s="223">
        <f>NVDA!J145+AMD!J123*(0.5)+AMD!K123*(0.5)</f>
        <v>-12407.855831914414</v>
      </c>
      <c r="M206" s="192"/>
      <c r="N206" s="192"/>
      <c r="O206" s="192"/>
    </row>
    <row r="207" spans="1:15" x14ac:dyDescent="0.2">
      <c r="A207" s="192"/>
      <c r="B207" s="297" t="s">
        <v>104</v>
      </c>
      <c r="C207" s="297"/>
      <c r="D207" s="192"/>
      <c r="E207" s="378"/>
      <c r="F207" s="378"/>
      <c r="G207" s="379"/>
      <c r="H207" s="226">
        <f>SUM(H206:H206)</f>
        <v>-3104.915914087288</v>
      </c>
      <c r="I207" s="226">
        <f>SUM(I206:I206)</f>
        <v>-4381.0736633529077</v>
      </c>
      <c r="J207" s="226">
        <f>SUM(J206:J206)</f>
        <v>-6181.4713230661246</v>
      </c>
      <c r="K207" s="226">
        <f>SUM(K206:K206)</f>
        <v>-8740.9733094904095</v>
      </c>
      <c r="L207" s="226">
        <f>SUM(L206:L206)</f>
        <v>-12407.855831914414</v>
      </c>
      <c r="M207" s="192"/>
      <c r="N207" s="192"/>
      <c r="O207" s="192"/>
    </row>
    <row r="208" spans="1:15" x14ac:dyDescent="0.2">
      <c r="A208" s="192"/>
      <c r="B208" s="228"/>
      <c r="C208" s="228"/>
      <c r="D208" s="192"/>
      <c r="E208" s="378"/>
      <c r="F208" s="378"/>
      <c r="G208" s="379"/>
      <c r="H208" s="235"/>
      <c r="I208" s="235"/>
      <c r="J208" s="235"/>
      <c r="K208" s="235"/>
      <c r="L208" s="235"/>
      <c r="M208" s="192"/>
      <c r="N208" s="192"/>
      <c r="O208" s="192"/>
    </row>
    <row r="209" spans="1:15" x14ac:dyDescent="0.2">
      <c r="A209" s="192"/>
      <c r="B209" s="297" t="s">
        <v>391</v>
      </c>
      <c r="C209" s="297"/>
      <c r="D209" s="216"/>
      <c r="E209" s="378"/>
      <c r="F209" s="378"/>
      <c r="G209" s="379"/>
      <c r="H209" s="221">
        <f ca="1">H204+H207</f>
        <v>10318.204796186466</v>
      </c>
      <c r="I209" s="221">
        <f ca="1">I204+I207</f>
        <v>11485.325706066509</v>
      </c>
      <c r="J209" s="221">
        <f ca="1">J204+J207</f>
        <v>20510.292401931532</v>
      </c>
      <c r="K209" s="221">
        <f ca="1">K204+K207</f>
        <v>32629.202254241151</v>
      </c>
      <c r="L209" s="221">
        <f ca="1">L204+L207</f>
        <v>51412.31499760427</v>
      </c>
      <c r="M209" s="192"/>
      <c r="N209" s="192"/>
      <c r="O209" s="192"/>
    </row>
    <row r="210" spans="1:15" x14ac:dyDescent="0.2">
      <c r="A210" s="192"/>
      <c r="B210" s="228"/>
      <c r="C210" s="228"/>
      <c r="D210" s="192"/>
      <c r="E210" s="378"/>
      <c r="F210" s="378"/>
      <c r="G210" s="379"/>
      <c r="H210" s="235"/>
      <c r="I210" s="235"/>
      <c r="J210" s="235"/>
      <c r="K210" s="235"/>
      <c r="L210" s="235"/>
      <c r="M210" s="192"/>
      <c r="N210" s="192"/>
      <c r="O210" s="192"/>
    </row>
    <row r="211" spans="1:15" x14ac:dyDescent="0.2">
      <c r="A211" s="192"/>
      <c r="B211" s="228" t="s">
        <v>392</v>
      </c>
      <c r="C211" s="228"/>
      <c r="D211" s="192"/>
      <c r="E211" s="378"/>
      <c r="F211" s="378"/>
      <c r="G211" s="379"/>
      <c r="H211" s="235">
        <f ca="1">H238+H244</f>
        <v>-2138.2195454545454</v>
      </c>
      <c r="I211" s="235">
        <f ca="1">I238+I244</f>
        <v>-2138.2195454545454</v>
      </c>
      <c r="J211" s="235">
        <f ca="1">J238+J244</f>
        <v>-2138.2195454545454</v>
      </c>
      <c r="K211" s="235">
        <f ca="1">K238+K244</f>
        <v>-2138.2195454545454</v>
      </c>
      <c r="L211" s="235">
        <f ca="1">L238+L244</f>
        <v>-2138.2195454545454</v>
      </c>
      <c r="M211" s="192"/>
      <c r="N211" s="192" t="s">
        <v>393</v>
      </c>
      <c r="O211" s="192"/>
    </row>
    <row r="212" spans="1:15" x14ac:dyDescent="0.2">
      <c r="A212" s="192"/>
      <c r="B212" s="228" t="s">
        <v>156</v>
      </c>
      <c r="C212" s="228"/>
      <c r="D212" s="192"/>
      <c r="E212" s="378"/>
      <c r="F212" s="378"/>
      <c r="G212" s="379"/>
      <c r="H212" s="223">
        <v>0</v>
      </c>
      <c r="I212" s="223">
        <v>0</v>
      </c>
      <c r="J212" s="223">
        <v>0</v>
      </c>
      <c r="K212" s="223">
        <v>0</v>
      </c>
      <c r="L212" s="223">
        <v>0</v>
      </c>
      <c r="M212" s="192"/>
      <c r="N212" s="192"/>
      <c r="O212" s="192"/>
    </row>
    <row r="213" spans="1:15" x14ac:dyDescent="0.2">
      <c r="A213" s="192"/>
      <c r="B213" s="228" t="s">
        <v>109</v>
      </c>
      <c r="C213" s="228"/>
      <c r="D213" s="192"/>
      <c r="E213" s="378"/>
      <c r="F213" s="378"/>
      <c r="G213" s="379"/>
      <c r="H213" s="223">
        <v>0</v>
      </c>
      <c r="I213" s="223">
        <v>0</v>
      </c>
      <c r="J213" s="223">
        <v>0</v>
      </c>
      <c r="K213" s="223">
        <v>0</v>
      </c>
      <c r="L213" s="223">
        <v>0</v>
      </c>
      <c r="M213" s="192"/>
      <c r="N213" s="192"/>
      <c r="O213" s="192"/>
    </row>
    <row r="214" spans="1:15" x14ac:dyDescent="0.2">
      <c r="A214" s="192"/>
      <c r="B214" s="228" t="s">
        <v>394</v>
      </c>
      <c r="C214" s="228"/>
      <c r="D214" s="192"/>
      <c r="E214" s="378"/>
      <c r="F214" s="378"/>
      <c r="G214" s="379"/>
      <c r="H214" s="260">
        <f ca="1">SUM(H231,H239,H245)</f>
        <v>-8179.985250731921</v>
      </c>
      <c r="I214" s="260">
        <f ca="1">SUM(I231,I239,I245)</f>
        <v>-9347.1061606119638</v>
      </c>
      <c r="J214" s="260">
        <f ca="1">SUM(J231,J239,J245)</f>
        <v>-18372.072856467603</v>
      </c>
      <c r="K214" s="260">
        <f ca="1">SUM(K231,K239,K245)</f>
        <v>-30490.982707136558</v>
      </c>
      <c r="L214" s="260">
        <f ca="1">SUM(L231,L239,L245)</f>
        <v>-41999.732544645223</v>
      </c>
      <c r="M214" s="381"/>
      <c r="N214" s="192"/>
      <c r="O214" s="192"/>
    </row>
    <row r="215" spans="1:15" x14ac:dyDescent="0.2">
      <c r="A215" s="192"/>
      <c r="B215" s="297" t="s">
        <v>111</v>
      </c>
      <c r="C215" s="297"/>
      <c r="D215" s="192"/>
      <c r="E215" s="378"/>
      <c r="F215" s="378"/>
      <c r="G215" s="379"/>
      <c r="H215" s="226">
        <f ca="1">SUM(H211:H214)</f>
        <v>-10318.204796186466</v>
      </c>
      <c r="I215" s="226">
        <f ca="1">SUM(I211:I214)</f>
        <v>-11485.325706066509</v>
      </c>
      <c r="J215" s="226">
        <f ca="1">SUM(J211:J214)</f>
        <v>-20510.292401922146</v>
      </c>
      <c r="K215" s="226">
        <f ca="1">SUM(K211:K214)</f>
        <v>-32629.202252591102</v>
      </c>
      <c r="L215" s="226">
        <f ca="1">SUM(L211:L214)</f>
        <v>-44137.952090099767</v>
      </c>
      <c r="M215" s="192"/>
      <c r="N215" s="192"/>
      <c r="O215" s="192"/>
    </row>
    <row r="216" spans="1:15" x14ac:dyDescent="0.2">
      <c r="A216" s="192"/>
      <c r="B216" s="228"/>
      <c r="C216" s="228"/>
      <c r="D216" s="192"/>
      <c r="E216" s="243"/>
      <c r="F216" s="243"/>
      <c r="G216" s="330"/>
      <c r="H216" s="235"/>
      <c r="I216" s="235"/>
      <c r="J216" s="235"/>
      <c r="K216" s="235"/>
      <c r="L216" s="235"/>
      <c r="M216" s="192"/>
      <c r="N216" s="192"/>
      <c r="O216" s="192"/>
    </row>
    <row r="217" spans="1:15" x14ac:dyDescent="0.2">
      <c r="A217" s="192"/>
      <c r="B217" s="192" t="s">
        <v>395</v>
      </c>
      <c r="C217" s="192"/>
      <c r="D217" s="192"/>
      <c r="E217" s="243"/>
      <c r="F217" s="243"/>
      <c r="G217" s="330"/>
      <c r="H217" s="235">
        <f>G81</f>
        <v>2000</v>
      </c>
      <c r="I217" s="235">
        <f ca="1">H219</f>
        <v>2000</v>
      </c>
      <c r="J217" s="235">
        <f ca="1">I219</f>
        <v>2000</v>
      </c>
      <c r="K217" s="235">
        <f ca="1">J219</f>
        <v>1999.999999969732</v>
      </c>
      <c r="L217" s="235">
        <f ca="1">K219</f>
        <v>1999.999974694867</v>
      </c>
      <c r="M217" s="192"/>
      <c r="N217" s="192"/>
      <c r="O217" s="382"/>
    </row>
    <row r="218" spans="1:15" x14ac:dyDescent="0.2">
      <c r="A218" s="192"/>
      <c r="B218" s="192" t="s">
        <v>113</v>
      </c>
      <c r="C218" s="192"/>
      <c r="D218" s="192"/>
      <c r="E218" s="243"/>
      <c r="F218" s="243"/>
      <c r="G218" s="330"/>
      <c r="H218" s="235">
        <f ca="1">H209+H215</f>
        <v>0</v>
      </c>
      <c r="I218" s="235">
        <f ca="1">I209+I215</f>
        <v>0</v>
      </c>
      <c r="J218" s="235">
        <f ca="1">J209+J215</f>
        <v>9.3859853222966194E-9</v>
      </c>
      <c r="K218" s="235">
        <f ca="1">K209+K215</f>
        <v>1.6500489437021315E-6</v>
      </c>
      <c r="L218" s="235">
        <f ca="1">L209+L215</f>
        <v>7274.3629075045028</v>
      </c>
      <c r="M218" s="192"/>
      <c r="N218" s="192"/>
      <c r="O218" s="382"/>
    </row>
    <row r="219" spans="1:15" x14ac:dyDescent="0.2">
      <c r="A219" s="228" t="s">
        <v>183</v>
      </c>
      <c r="B219" s="216" t="s">
        <v>396</v>
      </c>
      <c r="C219" s="192"/>
      <c r="D219" s="192"/>
      <c r="E219" s="243"/>
      <c r="F219" s="243"/>
      <c r="G219" s="330"/>
      <c r="H219" s="226">
        <f ca="1">SUM(H217:H218)</f>
        <v>2000</v>
      </c>
      <c r="I219" s="226">
        <f ca="1">SUM(I217:I218)</f>
        <v>2000</v>
      </c>
      <c r="J219" s="226">
        <f ca="1">SUM(J217:J218)</f>
        <v>2000.000000009386</v>
      </c>
      <c r="K219" s="226">
        <f ca="1">SUM(K217:K218)</f>
        <v>2000.000001619781</v>
      </c>
      <c r="L219" s="226">
        <f ca="1">SUM(L217:L218)</f>
        <v>9274.3628821993698</v>
      </c>
      <c r="M219" s="192"/>
      <c r="N219" s="192"/>
      <c r="O219" s="192"/>
    </row>
    <row r="220" spans="1:15" x14ac:dyDescent="0.2">
      <c r="A220" s="192"/>
      <c r="B220" s="192"/>
      <c r="C220" s="192"/>
      <c r="D220" s="192"/>
      <c r="E220" s="192"/>
      <c r="F220" s="192"/>
      <c r="G220" s="192"/>
      <c r="H220" s="192"/>
      <c r="I220" s="192"/>
      <c r="J220" s="192"/>
      <c r="K220" s="192"/>
      <c r="L220" s="192"/>
      <c r="M220" s="192"/>
      <c r="N220" s="192"/>
      <c r="O220" s="192"/>
    </row>
    <row r="221" spans="1:15" x14ac:dyDescent="0.2">
      <c r="A221" s="192"/>
      <c r="B221" s="192"/>
      <c r="C221" s="192"/>
      <c r="D221" s="192"/>
      <c r="E221" s="192"/>
      <c r="F221" s="192"/>
      <c r="G221" s="192"/>
      <c r="H221" s="192"/>
      <c r="I221" s="192"/>
      <c r="J221" s="192"/>
      <c r="K221" s="192"/>
      <c r="L221" s="192"/>
      <c r="M221" s="192"/>
      <c r="N221" s="192"/>
      <c r="O221" s="192"/>
    </row>
    <row r="222" spans="1:15" x14ac:dyDescent="0.2">
      <c r="A222" s="199"/>
      <c r="B222" s="200" t="s">
        <v>397</v>
      </c>
      <c r="C222" s="200"/>
      <c r="D222" s="200"/>
      <c r="E222" s="200"/>
      <c r="F222" s="200"/>
      <c r="G222" s="200"/>
      <c r="H222" s="200"/>
      <c r="I222" s="200"/>
      <c r="J222" s="200"/>
      <c r="K222" s="200"/>
      <c r="L222" s="200"/>
      <c r="M222" s="192"/>
      <c r="N222" s="192"/>
      <c r="O222" s="192"/>
    </row>
    <row r="223" spans="1:15" x14ac:dyDescent="0.2">
      <c r="A223" s="192"/>
      <c r="B223" s="192"/>
      <c r="C223" s="192"/>
      <c r="D223" s="192"/>
      <c r="E223" s="383"/>
      <c r="F223" s="383"/>
      <c r="G223" s="313">
        <f>YEAR(C21)</f>
        <v>2022</v>
      </c>
      <c r="H223" s="279">
        <f>G223+1</f>
        <v>2023</v>
      </c>
      <c r="I223" s="279">
        <f>H223+1</f>
        <v>2024</v>
      </c>
      <c r="J223" s="279">
        <f>I223+1</f>
        <v>2025</v>
      </c>
      <c r="K223" s="279">
        <f>J223+1</f>
        <v>2026</v>
      </c>
      <c r="L223" s="279">
        <f>K223+1</f>
        <v>2027</v>
      </c>
      <c r="M223" s="192"/>
      <c r="N223" s="192"/>
      <c r="O223" s="192"/>
    </row>
    <row r="224" spans="1:15" x14ac:dyDescent="0.2">
      <c r="A224" s="192"/>
      <c r="B224" s="192" t="s">
        <v>398</v>
      </c>
      <c r="C224" s="192"/>
      <c r="D224" s="192"/>
      <c r="E224" s="192"/>
      <c r="F224" s="192"/>
      <c r="G224" s="384"/>
      <c r="H224" s="385">
        <f ca="1">H209+SUM(H211:H213)</f>
        <v>8179.985250731921</v>
      </c>
      <c r="I224" s="292">
        <f t="shared" ref="I224:L224" ca="1" si="40">I209+SUM(I211:I213)</f>
        <v>9347.1061606119638</v>
      </c>
      <c r="J224" s="292">
        <f t="shared" ca="1" si="40"/>
        <v>18372.072856476989</v>
      </c>
      <c r="K224" s="292">
        <f t="shared" ca="1" si="40"/>
        <v>30490.982708786607</v>
      </c>
      <c r="L224" s="292">
        <f t="shared" ca="1" si="40"/>
        <v>49274.095452149726</v>
      </c>
      <c r="M224" s="243"/>
      <c r="N224" s="192"/>
      <c r="O224" s="192"/>
    </row>
    <row r="225" spans="1:15" x14ac:dyDescent="0.2">
      <c r="A225" s="192"/>
      <c r="B225" s="192" t="s">
        <v>112</v>
      </c>
      <c r="C225" s="192"/>
      <c r="D225" s="192"/>
      <c r="E225" s="192"/>
      <c r="F225" s="192"/>
      <c r="G225" s="294"/>
      <c r="H225" s="303">
        <f>H217</f>
        <v>2000</v>
      </c>
      <c r="I225" s="303">
        <f t="shared" ref="I225:L225" ca="1" si="41">I217</f>
        <v>2000</v>
      </c>
      <c r="J225" s="303">
        <f t="shared" ca="1" si="41"/>
        <v>2000</v>
      </c>
      <c r="K225" s="303">
        <f t="shared" ca="1" si="41"/>
        <v>1999.999999969732</v>
      </c>
      <c r="L225" s="303">
        <f t="shared" ca="1" si="41"/>
        <v>1999.999974694867</v>
      </c>
      <c r="M225" s="243"/>
      <c r="N225" s="192"/>
      <c r="O225" s="192"/>
    </row>
    <row r="226" spans="1:15" x14ac:dyDescent="0.2">
      <c r="A226" s="192"/>
      <c r="B226" s="192" t="s">
        <v>399</v>
      </c>
      <c r="C226" s="192"/>
      <c r="D226" s="192"/>
      <c r="E226" s="192"/>
      <c r="F226" s="192"/>
      <c r="G226" s="294"/>
      <c r="H226" s="303">
        <f>-$C$31</f>
        <v>-2000</v>
      </c>
      <c r="I226" s="303">
        <f t="shared" ref="I226:L226" si="42">-$C$31</f>
        <v>-2000</v>
      </c>
      <c r="J226" s="303">
        <f t="shared" si="42"/>
        <v>-2000</v>
      </c>
      <c r="K226" s="303">
        <f t="shared" si="42"/>
        <v>-2000</v>
      </c>
      <c r="L226" s="303">
        <f t="shared" si="42"/>
        <v>-2000</v>
      </c>
      <c r="M226" s="192"/>
      <c r="N226" s="192"/>
      <c r="O226" s="192"/>
    </row>
    <row r="227" spans="1:15" x14ac:dyDescent="0.2">
      <c r="A227" s="192"/>
      <c r="B227" s="216" t="s">
        <v>400</v>
      </c>
      <c r="C227" s="216"/>
      <c r="D227" s="216"/>
      <c r="E227" s="216"/>
      <c r="F227" s="216"/>
      <c r="G227" s="386"/>
      <c r="H227" s="387">
        <f ca="1">SUM(H224:H226)</f>
        <v>8179.985250731921</v>
      </c>
      <c r="I227" s="388">
        <f t="shared" ref="I227:L227" ca="1" si="43">SUM(I224:I226)</f>
        <v>9347.1061606119638</v>
      </c>
      <c r="J227" s="388">
        <f t="shared" ca="1" si="43"/>
        <v>18372.072856476989</v>
      </c>
      <c r="K227" s="388">
        <f t="shared" ca="1" si="43"/>
        <v>30490.982708756339</v>
      </c>
      <c r="L227" s="388">
        <f t="shared" ca="1" si="43"/>
        <v>49274.095426844593</v>
      </c>
      <c r="M227" s="192"/>
      <c r="N227" s="192"/>
      <c r="O227" s="192"/>
    </row>
    <row r="228" spans="1:15" x14ac:dyDescent="0.2">
      <c r="A228" s="192"/>
      <c r="B228" s="192"/>
      <c r="C228" s="192"/>
      <c r="D228" s="192"/>
      <c r="E228" s="192"/>
      <c r="F228" s="192"/>
      <c r="G228" s="294"/>
      <c r="H228" s="192"/>
      <c r="I228" s="192"/>
      <c r="J228" s="192"/>
      <c r="K228" s="192"/>
      <c r="L228" s="192"/>
      <c r="M228" s="192"/>
      <c r="N228" s="192"/>
      <c r="O228" s="192"/>
    </row>
    <row r="229" spans="1:15" x14ac:dyDescent="0.2">
      <c r="A229" s="192"/>
      <c r="B229" s="197" t="s">
        <v>401</v>
      </c>
      <c r="C229" s="192"/>
      <c r="D229" s="192"/>
      <c r="E229" s="192"/>
      <c r="F229" s="192"/>
      <c r="G229" s="294"/>
      <c r="H229" s="192"/>
      <c r="I229" s="192"/>
      <c r="J229" s="192"/>
      <c r="K229" s="192"/>
      <c r="L229" s="192"/>
      <c r="M229" s="192"/>
      <c r="N229" s="192"/>
      <c r="O229" s="192"/>
    </row>
    <row r="230" spans="1:15" x14ac:dyDescent="0.2">
      <c r="A230" s="192"/>
      <c r="B230" s="192" t="s">
        <v>130</v>
      </c>
      <c r="C230" s="192"/>
      <c r="D230" s="192"/>
      <c r="E230" s="192"/>
      <c r="F230" s="192"/>
      <c r="G230" s="294"/>
      <c r="H230" s="303">
        <f>G232</f>
        <v>0</v>
      </c>
      <c r="I230" s="303">
        <f t="shared" ref="I230:L230" ca="1" si="44">H232</f>
        <v>0</v>
      </c>
      <c r="J230" s="303">
        <f t="shared" ca="1" si="44"/>
        <v>0</v>
      </c>
      <c r="K230" s="303">
        <f t="shared" ca="1" si="44"/>
        <v>0</v>
      </c>
      <c r="L230" s="303">
        <f t="shared" ca="1" si="44"/>
        <v>0</v>
      </c>
      <c r="M230" s="192"/>
      <c r="N230" s="192"/>
      <c r="O230" s="192"/>
    </row>
    <row r="231" spans="1:15" x14ac:dyDescent="0.2">
      <c r="A231" s="192"/>
      <c r="B231" s="192" t="s">
        <v>402</v>
      </c>
      <c r="C231" s="192"/>
      <c r="D231" s="192"/>
      <c r="E231" s="192"/>
      <c r="F231" s="192"/>
      <c r="G231" s="294"/>
      <c r="H231" s="303">
        <f ca="1">-MIN(H227,H230)</f>
        <v>0</v>
      </c>
      <c r="I231" s="303">
        <f t="shared" ref="I231:L231" ca="1" si="45">-MIN(I227,I230)</f>
        <v>0</v>
      </c>
      <c r="J231" s="303">
        <f t="shared" ca="1" si="45"/>
        <v>0</v>
      </c>
      <c r="K231" s="303">
        <f t="shared" ca="1" si="45"/>
        <v>0</v>
      </c>
      <c r="L231" s="303">
        <f t="shared" ca="1" si="45"/>
        <v>0</v>
      </c>
      <c r="M231" s="192"/>
      <c r="N231" s="192"/>
      <c r="O231" s="192"/>
    </row>
    <row r="232" spans="1:15" x14ac:dyDescent="0.2">
      <c r="A232" s="192"/>
      <c r="B232" s="192" t="s">
        <v>133</v>
      </c>
      <c r="C232" s="192"/>
      <c r="D232" s="192"/>
      <c r="E232" s="192"/>
      <c r="F232" s="192"/>
      <c r="G232" s="389"/>
      <c r="H232" s="292">
        <f ca="1">SUM(H230:H231)</f>
        <v>0</v>
      </c>
      <c r="I232" s="292">
        <f t="shared" ref="I232:L232" ca="1" si="46">SUM(I230:I231)</f>
        <v>0</v>
      </c>
      <c r="J232" s="292">
        <f t="shared" ca="1" si="46"/>
        <v>0</v>
      </c>
      <c r="K232" s="292">
        <f t="shared" ca="1" si="46"/>
        <v>0</v>
      </c>
      <c r="L232" s="292">
        <f t="shared" ca="1" si="46"/>
        <v>0</v>
      </c>
      <c r="M232" s="192"/>
      <c r="N232" s="192"/>
      <c r="O232" s="192"/>
    </row>
    <row r="233" spans="1:15" x14ac:dyDescent="0.2">
      <c r="A233" s="192"/>
      <c r="B233" s="192" t="s">
        <v>403</v>
      </c>
      <c r="C233" s="192"/>
      <c r="D233" s="192"/>
      <c r="E233" s="390">
        <f>C52</f>
        <v>7500</v>
      </c>
      <c r="F233" s="192"/>
      <c r="G233" s="294"/>
      <c r="H233" s="303">
        <f ca="1">$E$233-H232</f>
        <v>7500</v>
      </c>
      <c r="I233" s="303">
        <f t="shared" ref="I233:L233" ca="1" si="47">$E$233-I232</f>
        <v>7500</v>
      </c>
      <c r="J233" s="303">
        <f t="shared" ca="1" si="47"/>
        <v>7500</v>
      </c>
      <c r="K233" s="303">
        <f t="shared" ca="1" si="47"/>
        <v>7500</v>
      </c>
      <c r="L233" s="303">
        <f t="shared" ca="1" si="47"/>
        <v>7500</v>
      </c>
      <c r="M233" s="192"/>
      <c r="N233" s="192"/>
      <c r="O233" s="192"/>
    </row>
    <row r="234" spans="1:15" x14ac:dyDescent="0.2">
      <c r="A234" s="192"/>
      <c r="B234" s="192" t="s">
        <v>404</v>
      </c>
      <c r="C234" s="192"/>
      <c r="D234" s="192"/>
      <c r="E234" s="232"/>
      <c r="F234" s="192"/>
      <c r="G234" s="294"/>
      <c r="H234" s="391">
        <f ca="1">IF(H233&lt;0,1,0)</f>
        <v>0</v>
      </c>
      <c r="I234" s="391">
        <f t="shared" ref="I234:L234" ca="1" si="48">IF(I233&lt;0,1,0)</f>
        <v>0</v>
      </c>
      <c r="J234" s="391">
        <f t="shared" ca="1" si="48"/>
        <v>0</v>
      </c>
      <c r="K234" s="391">
        <f t="shared" ca="1" si="48"/>
        <v>0</v>
      </c>
      <c r="L234" s="391">
        <f t="shared" ca="1" si="48"/>
        <v>0</v>
      </c>
      <c r="M234" s="192"/>
      <c r="N234" s="192"/>
      <c r="O234" s="192"/>
    </row>
    <row r="235" spans="1:15" x14ac:dyDescent="0.2">
      <c r="A235" s="192"/>
      <c r="B235" s="192"/>
      <c r="C235" s="192"/>
      <c r="D235" s="192"/>
      <c r="E235" s="192"/>
      <c r="F235" s="192"/>
      <c r="G235" s="294"/>
      <c r="H235" s="192"/>
      <c r="I235" s="192"/>
      <c r="J235" s="192"/>
      <c r="K235" s="192"/>
      <c r="L235" s="192"/>
      <c r="M235" s="192"/>
      <c r="N235" s="192"/>
      <c r="O235" s="192"/>
    </row>
    <row r="236" spans="1:15" x14ac:dyDescent="0.2">
      <c r="A236" s="192"/>
      <c r="B236" s="197" t="s">
        <v>405</v>
      </c>
      <c r="C236" s="192"/>
      <c r="D236" s="192"/>
      <c r="E236" s="192"/>
      <c r="F236" s="192"/>
      <c r="G236" s="294"/>
      <c r="H236" s="192"/>
      <c r="I236" s="192"/>
      <c r="J236" s="192"/>
      <c r="K236" s="192"/>
      <c r="L236" s="192"/>
      <c r="M236" s="192"/>
      <c r="N236" s="192"/>
      <c r="O236" s="192"/>
    </row>
    <row r="237" spans="1:15" x14ac:dyDescent="0.2">
      <c r="A237" s="192"/>
      <c r="B237" s="192" t="s">
        <v>130</v>
      </c>
      <c r="C237" s="192"/>
      <c r="D237" s="192"/>
      <c r="E237" s="192"/>
      <c r="F237" s="192"/>
      <c r="G237" s="294"/>
      <c r="H237" s="303">
        <f ca="1">G240</f>
        <v>106910.97727272726</v>
      </c>
      <c r="I237" s="303">
        <f t="shared" ref="I237:L237" ca="1" si="49">H240</f>
        <v>96592.772476540806</v>
      </c>
      <c r="J237" s="303">
        <f t="shared" ca="1" si="49"/>
        <v>85107.4467704743</v>
      </c>
      <c r="K237" s="303">
        <f t="shared" ca="1" si="49"/>
        <v>64597.154368552154</v>
      </c>
      <c r="L237" s="303">
        <f t="shared" ca="1" si="49"/>
        <v>31967.952115930784</v>
      </c>
      <c r="M237" s="192"/>
      <c r="N237" s="192"/>
      <c r="O237" s="192"/>
    </row>
    <row r="238" spans="1:15" x14ac:dyDescent="0.2">
      <c r="A238" s="192"/>
      <c r="B238" s="192" t="s">
        <v>406</v>
      </c>
      <c r="C238" s="192"/>
      <c r="D238" s="192"/>
      <c r="E238" s="392">
        <v>0.02</v>
      </c>
      <c r="F238" s="192"/>
      <c r="G238" s="294"/>
      <c r="H238" s="303">
        <f ca="1">-MIN($G240*$E238,H237)</f>
        <v>-2138.2195454545454</v>
      </c>
      <c r="I238" s="303">
        <f t="shared" ref="I238:L238" ca="1" si="50">-MIN($G240*$E238,I237)</f>
        <v>-2138.2195454545454</v>
      </c>
      <c r="J238" s="303">
        <f t="shared" ca="1" si="50"/>
        <v>-2138.2195454545454</v>
      </c>
      <c r="K238" s="303">
        <f t="shared" ca="1" si="50"/>
        <v>-2138.2195454545454</v>
      </c>
      <c r="L238" s="303">
        <f t="shared" ca="1" si="50"/>
        <v>-2138.2195454545454</v>
      </c>
      <c r="M238" s="192"/>
      <c r="N238" s="192"/>
      <c r="O238" s="192"/>
    </row>
    <row r="239" spans="1:15" x14ac:dyDescent="0.2">
      <c r="A239" s="192"/>
      <c r="B239" s="192" t="s">
        <v>407</v>
      </c>
      <c r="C239" s="192"/>
      <c r="D239" s="192"/>
      <c r="E239" s="393">
        <v>1</v>
      </c>
      <c r="F239" s="192"/>
      <c r="G239" s="294"/>
      <c r="H239" s="303">
        <f ca="1">-MIN(H227+H231,H237+H238)*$E239</f>
        <v>-8179.985250731921</v>
      </c>
      <c r="I239" s="303">
        <f t="shared" ref="I239:L239" ca="1" si="51">-MIN(I227+I231,I237+I238)*$E239</f>
        <v>-9347.1061606119638</v>
      </c>
      <c r="J239" s="303">
        <f t="shared" ca="1" si="51"/>
        <v>-18372.072856476989</v>
      </c>
      <c r="K239" s="303">
        <f t="shared" ca="1" si="51"/>
        <v>-30490.982708756339</v>
      </c>
      <c r="L239" s="303">
        <f t="shared" ca="1" si="51"/>
        <v>-29829.732570476241</v>
      </c>
      <c r="M239" s="192"/>
      <c r="N239" s="192"/>
      <c r="O239" s="192"/>
    </row>
    <row r="240" spans="1:15" x14ac:dyDescent="0.2">
      <c r="A240" s="192"/>
      <c r="B240" s="192" t="s">
        <v>133</v>
      </c>
      <c r="C240" s="192"/>
      <c r="D240" s="192"/>
      <c r="E240" s="192"/>
      <c r="F240" s="192"/>
      <c r="G240" s="389">
        <f ca="1">I44</f>
        <v>106910.97727272726</v>
      </c>
      <c r="H240" s="292">
        <f ca="1">SUM(H237:H239)</f>
        <v>96592.772476540806</v>
      </c>
      <c r="I240" s="292">
        <f t="shared" ref="I240:L240" ca="1" si="52">SUM(I237:I239)</f>
        <v>85107.4467704743</v>
      </c>
      <c r="J240" s="292">
        <f t="shared" ca="1" si="52"/>
        <v>64597.154368542768</v>
      </c>
      <c r="K240" s="292">
        <f t="shared" ca="1" si="52"/>
        <v>31967.952114341271</v>
      </c>
      <c r="L240" s="292">
        <f t="shared" ca="1" si="52"/>
        <v>0</v>
      </c>
      <c r="M240" s="192"/>
      <c r="N240" s="192"/>
      <c r="O240" s="192"/>
    </row>
    <row r="241" spans="1:15" x14ac:dyDescent="0.2">
      <c r="A241" s="192"/>
      <c r="B241" s="192"/>
      <c r="C241" s="192"/>
      <c r="D241" s="192"/>
      <c r="E241" s="192"/>
      <c r="F241" s="192"/>
      <c r="G241" s="294"/>
      <c r="H241" s="192"/>
      <c r="I241" s="192"/>
      <c r="J241" s="192"/>
      <c r="K241" s="192"/>
      <c r="L241" s="192"/>
      <c r="M241" s="192"/>
      <c r="N241" s="192"/>
      <c r="O241" s="192"/>
    </row>
    <row r="242" spans="1:15" x14ac:dyDescent="0.2">
      <c r="A242" s="192"/>
      <c r="B242" s="197" t="s">
        <v>408</v>
      </c>
      <c r="C242" s="192"/>
      <c r="D242" s="192"/>
      <c r="E242" s="192"/>
      <c r="F242" s="192"/>
      <c r="G242" s="294"/>
      <c r="H242" s="192"/>
      <c r="I242" s="192"/>
      <c r="J242" s="192"/>
      <c r="K242" s="192"/>
      <c r="L242" s="192"/>
      <c r="M242" s="192"/>
      <c r="N242" s="192"/>
      <c r="O242" s="192"/>
    </row>
    <row r="243" spans="1:15" x14ac:dyDescent="0.2">
      <c r="A243" s="192"/>
      <c r="B243" s="192" t="s">
        <v>130</v>
      </c>
      <c r="C243" s="192"/>
      <c r="D243" s="192"/>
      <c r="E243" s="192"/>
      <c r="F243" s="192"/>
      <c r="G243" s="294"/>
      <c r="H243" s="303">
        <f>G246</f>
        <v>12170</v>
      </c>
      <c r="I243" s="303">
        <f t="shared" ref="I243:L243" ca="1" si="53">H246</f>
        <v>12170</v>
      </c>
      <c r="J243" s="303">
        <f t="shared" ca="1" si="53"/>
        <v>12170</v>
      </c>
      <c r="K243" s="303">
        <f t="shared" ca="1" si="53"/>
        <v>12170</v>
      </c>
      <c r="L243" s="303">
        <f t="shared" ca="1" si="53"/>
        <v>12170</v>
      </c>
      <c r="M243" s="192"/>
      <c r="N243" s="192"/>
      <c r="O243" s="192"/>
    </row>
    <row r="244" spans="1:15" x14ac:dyDescent="0.2">
      <c r="A244" s="192"/>
      <c r="B244" s="192" t="s">
        <v>406</v>
      </c>
      <c r="C244" s="192"/>
      <c r="D244" s="192"/>
      <c r="E244" s="394">
        <v>0</v>
      </c>
      <c r="F244" s="192"/>
      <c r="G244" s="294"/>
      <c r="H244" s="303">
        <f>-MIN($G246*$E244,H243)</f>
        <v>0</v>
      </c>
      <c r="I244" s="303">
        <f t="shared" ref="I244:L244" ca="1" si="54">-MIN($G246*$E244,I243)</f>
        <v>0</v>
      </c>
      <c r="J244" s="303">
        <f t="shared" ca="1" si="54"/>
        <v>0</v>
      </c>
      <c r="K244" s="303">
        <f t="shared" ca="1" si="54"/>
        <v>0</v>
      </c>
      <c r="L244" s="303">
        <f t="shared" ca="1" si="54"/>
        <v>0</v>
      </c>
      <c r="M244" s="192"/>
      <c r="N244" s="192"/>
      <c r="O244" s="192"/>
    </row>
    <row r="245" spans="1:15" x14ac:dyDescent="0.2">
      <c r="A245" s="192"/>
      <c r="B245" s="192" t="s">
        <v>407</v>
      </c>
      <c r="C245" s="192"/>
      <c r="D245" s="192"/>
      <c r="E245" s="393">
        <v>1</v>
      </c>
      <c r="F245" s="192"/>
      <c r="G245" s="294"/>
      <c r="H245" s="303">
        <f ca="1">-MIN(H227+H231+H239,H243+H244)*$E$245</f>
        <v>0</v>
      </c>
      <c r="I245" s="303">
        <f t="shared" ref="I245:L245" ca="1" si="55">-MIN(I227+I231+I239,I243+I244)*$E$245</f>
        <v>0</v>
      </c>
      <c r="J245" s="303">
        <f t="shared" ca="1" si="55"/>
        <v>0</v>
      </c>
      <c r="K245" s="303">
        <f t="shared" ca="1" si="55"/>
        <v>0</v>
      </c>
      <c r="L245" s="303">
        <f t="shared" ca="1" si="55"/>
        <v>-12170</v>
      </c>
      <c r="M245" s="192"/>
      <c r="N245" s="192"/>
      <c r="O245" s="192"/>
    </row>
    <row r="246" spans="1:15" x14ac:dyDescent="0.2">
      <c r="A246" s="228" t="s">
        <v>183</v>
      </c>
      <c r="B246" s="192" t="s">
        <v>133</v>
      </c>
      <c r="C246" s="192"/>
      <c r="D246" s="192"/>
      <c r="E246" s="192"/>
      <c r="F246" s="192"/>
      <c r="G246" s="389">
        <f>D54+D101</f>
        <v>12170</v>
      </c>
      <c r="H246" s="292">
        <f ca="1">SUM(H243:H245)</f>
        <v>12170</v>
      </c>
      <c r="I246" s="292">
        <f t="shared" ref="I246:L246" ca="1" si="56">SUM(I243:I245)</f>
        <v>12170</v>
      </c>
      <c r="J246" s="292">
        <f t="shared" ca="1" si="56"/>
        <v>12170</v>
      </c>
      <c r="K246" s="292">
        <f t="shared" ca="1" si="56"/>
        <v>12170</v>
      </c>
      <c r="L246" s="292">
        <f t="shared" ca="1" si="56"/>
        <v>0</v>
      </c>
      <c r="M246" s="192"/>
      <c r="N246" s="192"/>
      <c r="O246" s="192"/>
    </row>
    <row r="247" spans="1:15" x14ac:dyDescent="0.2">
      <c r="A247" s="192"/>
      <c r="B247" s="192"/>
      <c r="C247" s="192"/>
      <c r="D247" s="192"/>
      <c r="E247" s="192"/>
      <c r="F247" s="192"/>
      <c r="G247" s="294"/>
      <c r="H247" s="192"/>
      <c r="I247" s="192"/>
      <c r="J247" s="192"/>
      <c r="K247" s="192"/>
      <c r="L247" s="192"/>
      <c r="M247" s="192"/>
      <c r="N247" s="192"/>
      <c r="O247" s="192"/>
    </row>
    <row r="248" spans="1:15" x14ac:dyDescent="0.2">
      <c r="A248" s="199"/>
      <c r="B248" s="200" t="s">
        <v>409</v>
      </c>
      <c r="C248" s="200"/>
      <c r="D248" s="200"/>
      <c r="E248" s="200"/>
      <c r="F248" s="200"/>
      <c r="G248" s="200"/>
      <c r="H248" s="200"/>
      <c r="I248" s="200"/>
      <c r="J248" s="200"/>
      <c r="K248" s="200"/>
      <c r="L248" s="200"/>
      <c r="M248" s="192"/>
      <c r="N248" s="192"/>
      <c r="O248" s="192"/>
    </row>
    <row r="249" spans="1:15" x14ac:dyDescent="0.2">
      <c r="A249" s="192"/>
      <c r="B249" s="192"/>
      <c r="C249" s="192"/>
      <c r="D249" s="192"/>
      <c r="E249" s="383"/>
      <c r="F249" s="383"/>
      <c r="G249" s="313">
        <f>YEAR(C21)</f>
        <v>2022</v>
      </c>
      <c r="H249" s="279">
        <f>G249+1</f>
        <v>2023</v>
      </c>
      <c r="I249" s="279">
        <f>H249+1</f>
        <v>2024</v>
      </c>
      <c r="J249" s="279">
        <f>I249+1</f>
        <v>2025</v>
      </c>
      <c r="K249" s="279">
        <f>J249+1</f>
        <v>2026</v>
      </c>
      <c r="L249" s="279">
        <f>K249+1</f>
        <v>2027</v>
      </c>
      <c r="M249" s="192"/>
      <c r="N249" s="192"/>
      <c r="O249" s="192"/>
    </row>
    <row r="250" spans="1:15" x14ac:dyDescent="0.2">
      <c r="A250" s="192"/>
      <c r="B250" s="192" t="s">
        <v>410</v>
      </c>
      <c r="C250" s="192"/>
      <c r="D250" s="192"/>
      <c r="E250" s="192"/>
      <c r="F250" s="192"/>
      <c r="G250" s="395">
        <f ca="1">G260/G262</f>
        <v>8.1331678059570027</v>
      </c>
      <c r="H250" s="396">
        <f t="shared" ref="H250:L250" ca="1" si="57">H260/H262</f>
        <v>4.9444668654466684</v>
      </c>
      <c r="I250" s="396">
        <f t="shared" ca="1" si="57"/>
        <v>2.9267141021452279</v>
      </c>
      <c r="J250" s="396">
        <f t="shared" ca="1" si="57"/>
        <v>1.5198581211667461</v>
      </c>
      <c r="K250" s="396">
        <f t="shared" ca="1" si="57"/>
        <v>0.59465430369872163</v>
      </c>
      <c r="L250" s="396">
        <f t="shared" ca="1" si="57"/>
        <v>0</v>
      </c>
      <c r="M250" s="192"/>
      <c r="N250" s="192"/>
      <c r="O250" s="192"/>
    </row>
    <row r="251" spans="1:15" x14ac:dyDescent="0.2">
      <c r="A251" s="192"/>
      <c r="B251" s="192" t="s">
        <v>411</v>
      </c>
      <c r="C251" s="192"/>
      <c r="D251" s="192"/>
      <c r="E251" s="192"/>
      <c r="F251" s="192"/>
      <c r="G251" s="395">
        <f ca="1">G261/G262</f>
        <v>7.9965688630825271</v>
      </c>
      <c r="H251" s="396">
        <f t="shared" ref="H251:L251" ca="1" si="58">H261/H262</f>
        <v>4.8535448201022806</v>
      </c>
      <c r="I251" s="396">
        <f t="shared" ca="1" si="58"/>
        <v>2.8665415914696384</v>
      </c>
      <c r="J251" s="396">
        <f t="shared" ca="1" si="58"/>
        <v>1.4802615480419843</v>
      </c>
      <c r="K251" s="396">
        <f t="shared" ca="1" si="58"/>
        <v>0.56770904418015078</v>
      </c>
      <c r="L251" s="396">
        <f t="shared" ca="1" si="58"/>
        <v>-8.4458635918471317E-2</v>
      </c>
      <c r="M251" s="192"/>
      <c r="N251" s="192"/>
      <c r="O251" s="192"/>
    </row>
    <row r="252" spans="1:15" x14ac:dyDescent="0.2">
      <c r="A252" s="192"/>
      <c r="B252" s="192" t="s">
        <v>412</v>
      </c>
      <c r="C252" s="192"/>
      <c r="D252" s="192"/>
      <c r="E252" s="192"/>
      <c r="F252" s="192"/>
      <c r="G252" s="286"/>
      <c r="H252" s="396">
        <f ca="1">H261/(H262+H265)</f>
        <v>5.6512310781784407</v>
      </c>
      <c r="I252" s="396">
        <f t="shared" ref="I252:L252" ca="1" si="59">I261/(I262+I265)</f>
        <v>3.3017449228630249</v>
      </c>
      <c r="J252" s="396">
        <f t="shared" ca="1" si="59"/>
        <v>1.6866819732151836</v>
      </c>
      <c r="K252" s="396">
        <f t="shared" ca="1" si="59"/>
        <v>0.64348879448475604</v>
      </c>
      <c r="L252" s="396">
        <f t="shared" ca="1" si="59"/>
        <v>-9.5217697349005398E-2</v>
      </c>
      <c r="M252" s="192"/>
      <c r="N252" s="192"/>
      <c r="O252" s="192"/>
    </row>
    <row r="253" spans="1:15" x14ac:dyDescent="0.2">
      <c r="A253" s="192"/>
      <c r="B253" s="192" t="s">
        <v>413</v>
      </c>
      <c r="C253" s="192"/>
      <c r="D253" s="192"/>
      <c r="E253" s="192"/>
      <c r="F253" s="192"/>
      <c r="G253" s="286"/>
      <c r="H253" s="397">
        <f ca="1">H262/H263</f>
        <v>1.9984428208222693</v>
      </c>
      <c r="I253" s="397">
        <f t="shared" ref="I253:L253" ca="1" si="60">I262/I263</f>
        <v>4.1971039035480731</v>
      </c>
      <c r="J253" s="397">
        <f t="shared" ca="1" si="60"/>
        <v>8.7123529585876884</v>
      </c>
      <c r="K253" s="397">
        <f t="shared" ca="1" si="60"/>
        <v>18.54359887011422</v>
      </c>
      <c r="L253" s="397">
        <f t="shared" ca="1" si="60"/>
        <v>70.391290160395044</v>
      </c>
      <c r="M253" s="192"/>
      <c r="N253" s="192"/>
      <c r="O253" s="192"/>
    </row>
    <row r="254" spans="1:15" x14ac:dyDescent="0.2">
      <c r="A254" s="192"/>
      <c r="B254" s="192" t="s">
        <v>414</v>
      </c>
      <c r="C254" s="192"/>
      <c r="D254" s="192"/>
      <c r="E254" s="192"/>
      <c r="F254" s="192"/>
      <c r="G254" s="286"/>
      <c r="H254" s="397">
        <f ca="1">H262/H264</f>
        <v>1.9984428208222693</v>
      </c>
      <c r="I254" s="397">
        <f t="shared" ref="I254:L254" ca="1" si="61">I262/I264</f>
        <v>4.1971039035480731</v>
      </c>
      <c r="J254" s="397">
        <f t="shared" ca="1" si="61"/>
        <v>8.7123529585876884</v>
      </c>
      <c r="K254" s="397">
        <f t="shared" ca="1" si="61"/>
        <v>18.54359887011422</v>
      </c>
      <c r="L254" s="397">
        <f t="shared" ca="1" si="61"/>
        <v>70.391290160395044</v>
      </c>
      <c r="M254" s="192"/>
      <c r="N254" s="192"/>
      <c r="O254" s="192"/>
    </row>
    <row r="255" spans="1:15" x14ac:dyDescent="0.2">
      <c r="A255" s="192"/>
      <c r="B255" s="192" t="s">
        <v>415</v>
      </c>
      <c r="C255" s="192"/>
      <c r="D255" s="192"/>
      <c r="E255" s="192"/>
      <c r="F255" s="192"/>
      <c r="G255" s="286"/>
      <c r="H255" s="397">
        <f ca="1">(H262+H265+H267-H268)/(H264+H266)</f>
        <v>1.1088749450716693</v>
      </c>
      <c r="I255" s="397">
        <f t="shared" ref="I255:L255" ca="1" si="62">(I262+I265+I267+I268)/(I264+I266)</f>
        <v>1.9278813574125095</v>
      </c>
      <c r="J255" s="397">
        <f t="shared" ca="1" si="62"/>
        <v>3.3132358523389791</v>
      </c>
      <c r="K255" s="397">
        <f t="shared" ca="1" si="62"/>
        <v>5.9627677814526159</v>
      </c>
      <c r="L255" s="397">
        <f t="shared" ca="1" si="62"/>
        <v>14.312347534402864</v>
      </c>
      <c r="M255" s="192"/>
      <c r="N255" s="192"/>
      <c r="O255" s="192"/>
    </row>
    <row r="256" spans="1:15" x14ac:dyDescent="0.2">
      <c r="A256" s="192"/>
      <c r="B256" s="192" t="s">
        <v>416</v>
      </c>
      <c r="C256" s="192"/>
      <c r="D256" s="192"/>
      <c r="E256" s="192"/>
      <c r="F256" s="192"/>
      <c r="G256" s="286"/>
      <c r="H256" s="398">
        <f ca="1">IFERROR(H269/H260,"N/A")</f>
        <v>9.4868901934363745E-2</v>
      </c>
      <c r="I256" s="398">
        <f t="shared" ref="I256:L256" ca="1" si="63">IFERROR(I269/I260,"N/A")</f>
        <v>0.11806771340500007</v>
      </c>
      <c r="J256" s="398">
        <f t="shared" ca="1" si="63"/>
        <v>0.26717536387312329</v>
      </c>
      <c r="K256" s="398">
        <f t="shared" ca="1" si="63"/>
        <v>0.73925501045935593</v>
      </c>
      <c r="L256" s="398" t="str">
        <f t="shared" ca="1" si="63"/>
        <v>N/A</v>
      </c>
      <c r="M256" s="192"/>
      <c r="N256" s="192"/>
      <c r="O256" s="192"/>
    </row>
    <row r="257" spans="1:15" x14ac:dyDescent="0.2">
      <c r="A257" s="192"/>
      <c r="B257" s="192" t="s">
        <v>417</v>
      </c>
      <c r="C257" s="192"/>
      <c r="D257" s="192"/>
      <c r="E257" s="192"/>
      <c r="F257" s="192"/>
      <c r="G257" s="399">
        <f ca="1">1-G260/$G$260</f>
        <v>0</v>
      </c>
      <c r="H257" s="400">
        <f ca="1">1-H260/$G$260</f>
        <v>8.6648640551168943E-2</v>
      </c>
      <c r="I257" s="400">
        <f t="shared" ref="I257:L257" ca="1" si="64">1-I260/$G$260</f>
        <v>0.18309835039661337</v>
      </c>
      <c r="J257" s="400">
        <f t="shared" ca="1" si="64"/>
        <v>0.35533654386514779</v>
      </c>
      <c r="K257" s="400">
        <f t="shared" ca="1" si="64"/>
        <v>0.62934506310908855</v>
      </c>
      <c r="L257" s="400">
        <f t="shared" ca="1" si="64"/>
        <v>1</v>
      </c>
      <c r="M257" s="192"/>
      <c r="N257" s="192"/>
      <c r="O257" s="192"/>
    </row>
    <row r="258" spans="1:15" x14ac:dyDescent="0.2">
      <c r="A258" s="192"/>
      <c r="B258" s="192"/>
      <c r="C258" s="192"/>
      <c r="D258" s="192"/>
      <c r="E258" s="192"/>
      <c r="F258" s="192"/>
      <c r="G258" s="294"/>
      <c r="H258" s="192"/>
      <c r="I258" s="192"/>
      <c r="J258" s="192"/>
      <c r="K258" s="192"/>
      <c r="L258" s="192"/>
      <c r="M258" s="192"/>
      <c r="N258" s="192"/>
      <c r="O258" s="192"/>
    </row>
    <row r="259" spans="1:15" x14ac:dyDescent="0.2">
      <c r="A259" s="192"/>
      <c r="B259" s="197" t="s">
        <v>418</v>
      </c>
      <c r="C259" s="192"/>
      <c r="D259" s="192"/>
      <c r="E259" s="192"/>
      <c r="F259" s="192"/>
      <c r="G259" s="294"/>
      <c r="H259" s="192"/>
      <c r="I259" s="192"/>
      <c r="J259" s="192"/>
      <c r="K259" s="192"/>
      <c r="L259" s="192"/>
      <c r="M259" s="192"/>
      <c r="N259" s="192"/>
      <c r="O259" s="192"/>
    </row>
    <row r="260" spans="1:15" x14ac:dyDescent="0.2">
      <c r="A260" s="192"/>
      <c r="B260" s="192" t="s">
        <v>259</v>
      </c>
      <c r="C260" s="192"/>
      <c r="D260" s="192"/>
      <c r="E260" s="192"/>
      <c r="F260" s="232"/>
      <c r="G260" s="401">
        <f ca="1">G232+G240+G246</f>
        <v>119080.97727272726</v>
      </c>
      <c r="H260" s="402">
        <f ca="1">H232+H240+H246</f>
        <v>108762.77247654081</v>
      </c>
      <c r="I260" s="402">
        <f t="shared" ref="I260:L260" ca="1" si="65">I232+I240+I246</f>
        <v>97277.4467704743</v>
      </c>
      <c r="J260" s="402">
        <f t="shared" ca="1" si="65"/>
        <v>76767.154368542775</v>
      </c>
      <c r="K260" s="402">
        <f t="shared" ca="1" si="65"/>
        <v>44137.952114341271</v>
      </c>
      <c r="L260" s="402">
        <f t="shared" ca="1" si="65"/>
        <v>0</v>
      </c>
      <c r="M260" s="192"/>
      <c r="N260" s="192"/>
      <c r="O260" s="192"/>
    </row>
    <row r="261" spans="1:15" x14ac:dyDescent="0.2">
      <c r="A261" s="192"/>
      <c r="B261" s="192" t="s">
        <v>419</v>
      </c>
      <c r="C261" s="192"/>
      <c r="D261" s="192"/>
      <c r="E261" s="192"/>
      <c r="F261" s="192"/>
      <c r="G261" s="302">
        <f ca="1">G260-G81</f>
        <v>117080.97727272726</v>
      </c>
      <c r="H261" s="303">
        <f ca="1">H260-H81</f>
        <v>106762.77247654081</v>
      </c>
      <c r="I261" s="303">
        <f t="shared" ref="I261:K261" ca="1" si="66">I260-I81</f>
        <v>95277.4467704743</v>
      </c>
      <c r="J261" s="303">
        <f t="shared" ca="1" si="66"/>
        <v>74767.154368573043</v>
      </c>
      <c r="K261" s="303">
        <f t="shared" ca="1" si="66"/>
        <v>42137.952139646404</v>
      </c>
      <c r="L261" s="303">
        <f ca="1">L260-L81</f>
        <v>-9274.3629314981335</v>
      </c>
      <c r="M261" s="192"/>
      <c r="N261" s="192"/>
      <c r="O261" s="192"/>
    </row>
    <row r="262" spans="1:15" x14ac:dyDescent="0.2">
      <c r="A262" s="192"/>
      <c r="B262" s="192" t="s">
        <v>23</v>
      </c>
      <c r="C262" s="192"/>
      <c r="D262" s="192"/>
      <c r="E262" s="192"/>
      <c r="F262" s="192"/>
      <c r="G262" s="302">
        <f>G140</f>
        <v>14641.401740845478</v>
      </c>
      <c r="H262" s="303">
        <f>H140</f>
        <v>21996.865473324495</v>
      </c>
      <c r="I262" s="303">
        <f t="shared" ref="I262:L262" si="67">I140</f>
        <v>33237.768834055816</v>
      </c>
      <c r="J262" s="303">
        <f t="shared" si="67"/>
        <v>50509.421438377729</v>
      </c>
      <c r="K262" s="303">
        <f t="shared" si="67"/>
        <v>74224.556757421597</v>
      </c>
      <c r="L262" s="303">
        <f t="shared" si="67"/>
        <v>109809.52836651576</v>
      </c>
      <c r="M262" s="192"/>
      <c r="N262" s="192"/>
      <c r="O262" s="192"/>
    </row>
    <row r="263" spans="1:15" x14ac:dyDescent="0.2">
      <c r="A263" s="192"/>
      <c r="B263" s="192" t="s">
        <v>420</v>
      </c>
      <c r="C263" s="192"/>
      <c r="D263" s="192"/>
      <c r="E263" s="192"/>
      <c r="F263" s="192"/>
      <c r="G263" s="294"/>
      <c r="H263" s="303">
        <f ca="1">H281</f>
        <v>11007.002674349109</v>
      </c>
      <c r="I263" s="303">
        <f t="shared" ref="I263:L263" ca="1" si="68">I281</f>
        <v>7919.21515356288</v>
      </c>
      <c r="J263" s="303">
        <f t="shared" ca="1" si="68"/>
        <v>5797.4489415744656</v>
      </c>
      <c r="K263" s="303">
        <f t="shared" ca="1" si="68"/>
        <v>4002.7050464092017</v>
      </c>
      <c r="L263" s="303">
        <f t="shared" ca="1" si="68"/>
        <v>1559.98743987429</v>
      </c>
      <c r="M263" s="192"/>
      <c r="N263" s="192"/>
      <c r="O263" s="192"/>
    </row>
    <row r="264" spans="1:15" x14ac:dyDescent="0.2">
      <c r="A264" s="192"/>
      <c r="B264" s="192" t="s">
        <v>421</v>
      </c>
      <c r="C264" s="192"/>
      <c r="D264" s="192"/>
      <c r="E264" s="192"/>
      <c r="F264" s="192"/>
      <c r="G264" s="294"/>
      <c r="H264" s="303">
        <f ca="1">H263</f>
        <v>11007.002674349109</v>
      </c>
      <c r="I264" s="303">
        <f t="shared" ref="I264:L264" ca="1" si="69">I263</f>
        <v>7919.21515356288</v>
      </c>
      <c r="J264" s="303">
        <f t="shared" ca="1" si="69"/>
        <v>5797.4489415744656</v>
      </c>
      <c r="K264" s="303">
        <f t="shared" ca="1" si="69"/>
        <v>4002.7050464092017</v>
      </c>
      <c r="L264" s="303">
        <f t="shared" ca="1" si="69"/>
        <v>1559.98743987429</v>
      </c>
      <c r="M264" s="192"/>
      <c r="N264" s="192"/>
      <c r="O264" s="192"/>
    </row>
    <row r="265" spans="1:15" x14ac:dyDescent="0.2">
      <c r="A265" s="192"/>
      <c r="B265" s="192" t="s">
        <v>422</v>
      </c>
      <c r="C265" s="192"/>
      <c r="D265" s="192"/>
      <c r="E265" s="192"/>
      <c r="F265" s="192"/>
      <c r="G265" s="294"/>
      <c r="H265" s="303">
        <f>H206</f>
        <v>-3104.915914087288</v>
      </c>
      <c r="I265" s="303">
        <f t="shared" ref="I265:L265" si="70">I206</f>
        <v>-4381.0736633529077</v>
      </c>
      <c r="J265" s="303">
        <f t="shared" si="70"/>
        <v>-6181.4713230661246</v>
      </c>
      <c r="K265" s="303">
        <f t="shared" si="70"/>
        <v>-8740.9733094904095</v>
      </c>
      <c r="L265" s="303">
        <f t="shared" si="70"/>
        <v>-12407.855831914414</v>
      </c>
      <c r="M265" s="192"/>
      <c r="N265" s="192"/>
      <c r="O265" s="192"/>
    </row>
    <row r="266" spans="1:15" x14ac:dyDescent="0.2">
      <c r="A266" s="192"/>
      <c r="B266" s="192" t="s">
        <v>406</v>
      </c>
      <c r="C266" s="192"/>
      <c r="D266" s="192"/>
      <c r="E266" s="192"/>
      <c r="F266" s="192"/>
      <c r="G266" s="294"/>
      <c r="H266" s="303">
        <f ca="1">-H211</f>
        <v>2138.2195454545454</v>
      </c>
      <c r="I266" s="303">
        <f t="shared" ref="I266:L266" ca="1" si="71">-I211</f>
        <v>2138.2195454545454</v>
      </c>
      <c r="J266" s="303">
        <f t="shared" ca="1" si="71"/>
        <v>2138.2195454545454</v>
      </c>
      <c r="K266" s="303">
        <f t="shared" ca="1" si="71"/>
        <v>2138.2195454545454</v>
      </c>
      <c r="L266" s="303">
        <f t="shared" ca="1" si="71"/>
        <v>2138.2195454545454</v>
      </c>
      <c r="M266" s="192"/>
      <c r="N266" s="192"/>
      <c r="O266" s="192"/>
    </row>
    <row r="267" spans="1:15" x14ac:dyDescent="0.2">
      <c r="A267" s="192"/>
      <c r="B267" s="192" t="s">
        <v>423</v>
      </c>
      <c r="C267" s="192"/>
      <c r="D267" s="192"/>
      <c r="E267" s="192"/>
      <c r="F267" s="192"/>
      <c r="G267" s="294"/>
      <c r="H267" s="303">
        <f ca="1">-H302</f>
        <v>-948.64204049958948</v>
      </c>
      <c r="I267" s="303">
        <f t="shared" ref="I267:L267" ca="1" si="72">-I302</f>
        <v>-2910.8911263442583</v>
      </c>
      <c r="J267" s="303">
        <f t="shared" ca="1" si="72"/>
        <v>-8150.2833641408652</v>
      </c>
      <c r="K267" s="303">
        <f t="shared" ca="1" si="72"/>
        <v>-14579.211886361929</v>
      </c>
      <c r="L267" s="303">
        <f t="shared" ca="1" si="72"/>
        <v>-23000.34341307672</v>
      </c>
      <c r="M267" s="192"/>
      <c r="N267" s="192"/>
      <c r="O267" s="192"/>
    </row>
    <row r="268" spans="1:15" x14ac:dyDescent="0.2">
      <c r="A268" s="192"/>
      <c r="B268" s="192" t="s">
        <v>424</v>
      </c>
      <c r="C268" s="192"/>
      <c r="D268" s="192"/>
      <c r="E268" s="192"/>
      <c r="F268" s="192"/>
      <c r="G268" s="294"/>
      <c r="H268" s="303">
        <f>H202</f>
        <v>3366.8999517979573</v>
      </c>
      <c r="I268" s="303">
        <f>I202</f>
        <v>-6556.2631847292614</v>
      </c>
      <c r="J268" s="303">
        <f t="shared" ref="J268:L268" si="73">J202</f>
        <v>-9884.9254076646248</v>
      </c>
      <c r="K268" s="303">
        <f t="shared" si="73"/>
        <v>-14287.464260822046</v>
      </c>
      <c r="L268" s="303">
        <f t="shared" si="73"/>
        <v>-21471.30554483099</v>
      </c>
      <c r="M268" s="192"/>
      <c r="N268" s="192"/>
      <c r="O268" s="192"/>
    </row>
    <row r="269" spans="1:15" x14ac:dyDescent="0.2">
      <c r="A269" s="228" t="s">
        <v>183</v>
      </c>
      <c r="B269" s="192" t="s">
        <v>391</v>
      </c>
      <c r="C269" s="192"/>
      <c r="D269" s="192"/>
      <c r="E269" s="192"/>
      <c r="F269" s="192"/>
      <c r="G269" s="294"/>
      <c r="H269" s="303">
        <f ca="1">H204+H207</f>
        <v>10318.204796186466</v>
      </c>
      <c r="I269" s="303">
        <f t="shared" ref="I269:L269" ca="1" si="74">I204+I207</f>
        <v>11485.325706066509</v>
      </c>
      <c r="J269" s="303">
        <f t="shared" ca="1" si="74"/>
        <v>20510.292401931532</v>
      </c>
      <c r="K269" s="303">
        <f t="shared" ca="1" si="74"/>
        <v>32629.202254241151</v>
      </c>
      <c r="L269" s="303">
        <f t="shared" ca="1" si="74"/>
        <v>51412.31499760427</v>
      </c>
      <c r="M269" s="192"/>
      <c r="N269" s="192"/>
      <c r="O269" s="192"/>
    </row>
    <row r="270" spans="1:15" x14ac:dyDescent="0.2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</row>
    <row r="271" spans="1:15" x14ac:dyDescent="0.2">
      <c r="A271" s="192"/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</row>
    <row r="272" spans="1:15" x14ac:dyDescent="0.2">
      <c r="A272" s="199"/>
      <c r="B272" s="200" t="s">
        <v>425</v>
      </c>
      <c r="C272" s="200"/>
      <c r="D272" s="200"/>
      <c r="E272" s="200"/>
      <c r="F272" s="200"/>
      <c r="G272" s="200"/>
      <c r="H272" s="200"/>
      <c r="I272" s="200"/>
      <c r="J272" s="200"/>
      <c r="K272" s="200"/>
      <c r="L272" s="200"/>
      <c r="M272" s="192"/>
      <c r="N272" s="192"/>
      <c r="O272" s="192"/>
    </row>
    <row r="273" spans="1:15" x14ac:dyDescent="0.2">
      <c r="A273" s="192"/>
      <c r="B273" s="192"/>
      <c r="C273" s="192"/>
      <c r="D273" s="192"/>
      <c r="E273" s="383"/>
      <c r="F273" s="383"/>
      <c r="G273" s="313">
        <f>YEAR(C21)</f>
        <v>2022</v>
      </c>
      <c r="H273" s="279">
        <f>G273+1</f>
        <v>2023</v>
      </c>
      <c r="I273" s="279">
        <f>H273+1</f>
        <v>2024</v>
      </c>
      <c r="J273" s="279">
        <f>I273+1</f>
        <v>2025</v>
      </c>
      <c r="K273" s="279">
        <f>J273+1</f>
        <v>2026</v>
      </c>
      <c r="L273" s="279">
        <f>K273+1</f>
        <v>2027</v>
      </c>
      <c r="M273" s="192"/>
      <c r="N273" s="192"/>
      <c r="O273" s="192"/>
    </row>
    <row r="274" spans="1:15" x14ac:dyDescent="0.2">
      <c r="A274" s="192"/>
      <c r="B274" s="216" t="s">
        <v>313</v>
      </c>
      <c r="C274" s="192"/>
      <c r="D274" s="192"/>
      <c r="E274" s="192"/>
      <c r="F274" s="192"/>
      <c r="G274" s="574">
        <v>3.9699999999999999E-2</v>
      </c>
      <c r="H274" s="403">
        <v>5.9900000000000002E-2</v>
      </c>
      <c r="I274" s="573">
        <v>3.85E-2</v>
      </c>
      <c r="J274" s="573">
        <v>2.8000000000000001E-2</v>
      </c>
      <c r="K274" s="403">
        <v>3.1E-2</v>
      </c>
      <c r="L274" s="403">
        <v>4.1000000000000002E-2</v>
      </c>
      <c r="M274" s="192"/>
      <c r="N274" s="192"/>
      <c r="O274" s="192"/>
    </row>
    <row r="275" spans="1:15" x14ac:dyDescent="0.2">
      <c r="A275" s="192"/>
      <c r="B275" s="192"/>
      <c r="C275" s="192"/>
      <c r="D275" s="192"/>
      <c r="E275" s="202" t="s">
        <v>244</v>
      </c>
      <c r="F275" s="192"/>
      <c r="G275" s="294"/>
      <c r="H275" s="192"/>
      <c r="I275" s="192"/>
      <c r="J275" s="192"/>
      <c r="K275" s="192"/>
      <c r="L275" s="192"/>
      <c r="M275" s="192"/>
      <c r="N275" s="192"/>
      <c r="O275" s="192"/>
    </row>
    <row r="276" spans="1:15" x14ac:dyDescent="0.2">
      <c r="A276" s="192"/>
      <c r="B276" s="192"/>
      <c r="C276" s="192"/>
      <c r="D276" s="192"/>
      <c r="E276" s="202" t="s">
        <v>426</v>
      </c>
      <c r="F276" s="202" t="s">
        <v>251</v>
      </c>
      <c r="G276" s="294"/>
      <c r="H276" s="192"/>
      <c r="I276" s="192"/>
      <c r="J276" s="192"/>
      <c r="K276" s="192"/>
      <c r="L276" s="192"/>
      <c r="M276" s="192"/>
      <c r="N276" s="192"/>
      <c r="O276" s="192"/>
    </row>
    <row r="277" spans="1:15" x14ac:dyDescent="0.2">
      <c r="A277" s="192"/>
      <c r="B277" s="192" t="s">
        <v>134</v>
      </c>
      <c r="C277" s="192"/>
      <c r="D277" s="192"/>
      <c r="E277" s="404">
        <f>F52</f>
        <v>400</v>
      </c>
      <c r="F277" s="405">
        <f>G52</f>
        <v>0.01</v>
      </c>
      <c r="G277" s="294"/>
      <c r="H277" s="303">
        <f ca="1">(MAX(H$274,$F277)+$E277/10000)*AVERAGE(H230,H232)</f>
        <v>0</v>
      </c>
      <c r="I277" s="303">
        <f t="shared" ref="I277:L277" ca="1" si="75">(MAX(I$274,$F277)+$E277/10000)*AVERAGE(I230,I232)</f>
        <v>0</v>
      </c>
      <c r="J277" s="303">
        <f t="shared" ca="1" si="75"/>
        <v>0</v>
      </c>
      <c r="K277" s="303">
        <f t="shared" ca="1" si="75"/>
        <v>0</v>
      </c>
      <c r="L277" s="303">
        <f t="shared" ca="1" si="75"/>
        <v>0</v>
      </c>
      <c r="M277" s="192"/>
      <c r="N277" s="192"/>
      <c r="O277" s="192"/>
    </row>
    <row r="278" spans="1:15" x14ac:dyDescent="0.2">
      <c r="A278" s="192"/>
      <c r="B278" s="192" t="s">
        <v>427</v>
      </c>
      <c r="C278" s="192"/>
      <c r="D278" s="192"/>
      <c r="E278" s="404">
        <f>F53</f>
        <v>450</v>
      </c>
      <c r="F278" s="405">
        <f>G53</f>
        <v>0.01</v>
      </c>
      <c r="G278" s="294"/>
      <c r="H278" s="303">
        <f ca="1">(MAX(H$274,$F278)+$E278/10000)*AVERAGE(H237,H240)</f>
        <v>10673.771674349109</v>
      </c>
      <c r="I278" s="303">
        <f t="shared" ref="I278:L278" ca="1" si="76">(MAX(I$274,$F278)+$E278/10000)*AVERAGE(I237,I240)</f>
        <v>7585.9841535628802</v>
      </c>
      <c r="J278" s="303">
        <f t="shared" ca="1" si="76"/>
        <v>5464.2179415741221</v>
      </c>
      <c r="K278" s="303">
        <f t="shared" ca="1" si="76"/>
        <v>3669.4740463499502</v>
      </c>
      <c r="L278" s="303">
        <f t="shared" ca="1" si="76"/>
        <v>1374.6219409850237</v>
      </c>
      <c r="M278" s="192"/>
      <c r="N278" s="192"/>
      <c r="O278" s="192"/>
    </row>
    <row r="279" spans="1:15" x14ac:dyDescent="0.2">
      <c r="A279" s="192"/>
      <c r="B279" s="192" t="s">
        <v>258</v>
      </c>
      <c r="C279" s="192"/>
      <c r="D279" s="192"/>
      <c r="E279" s="406">
        <f>F54</f>
        <v>2.4299999999999999E-2</v>
      </c>
      <c r="F279" s="407"/>
      <c r="G279" s="294"/>
      <c r="H279" s="303">
        <f ca="1">$E279*AVERAGE(H243,H246)</f>
        <v>295.73099999999999</v>
      </c>
      <c r="I279" s="303">
        <f t="shared" ref="I279:L279" ca="1" si="77">$E279*AVERAGE(I243,I246)</f>
        <v>295.73099999999999</v>
      </c>
      <c r="J279" s="303">
        <f t="shared" ca="1" si="77"/>
        <v>295.73099999999999</v>
      </c>
      <c r="K279" s="303">
        <f t="shared" ca="1" si="77"/>
        <v>295.73099999999999</v>
      </c>
      <c r="L279" s="303">
        <f t="shared" ca="1" si="77"/>
        <v>147.8655</v>
      </c>
      <c r="M279" s="192"/>
      <c r="N279" s="192"/>
      <c r="O279" s="192"/>
    </row>
    <row r="280" spans="1:15" x14ac:dyDescent="0.2">
      <c r="A280" s="192"/>
      <c r="B280" s="192" t="s">
        <v>428</v>
      </c>
      <c r="C280" s="192"/>
      <c r="D280" s="192"/>
      <c r="E280" s="408">
        <f>0.005</f>
        <v>5.0000000000000001E-3</v>
      </c>
      <c r="F280" s="192"/>
      <c r="G280" s="294"/>
      <c r="H280" s="303">
        <f ca="1">$E$280*H233</f>
        <v>37.5</v>
      </c>
      <c r="I280" s="303">
        <f t="shared" ref="I280:L280" ca="1" si="78">$E$280*I233</f>
        <v>37.5</v>
      </c>
      <c r="J280" s="303">
        <f t="shared" ca="1" si="78"/>
        <v>37.5</v>
      </c>
      <c r="K280" s="303">
        <f t="shared" ca="1" si="78"/>
        <v>37.5</v>
      </c>
      <c r="L280" s="303">
        <f t="shared" ca="1" si="78"/>
        <v>37.5</v>
      </c>
      <c r="M280" s="192"/>
      <c r="N280" s="192"/>
      <c r="O280" s="192"/>
    </row>
    <row r="281" spans="1:15" x14ac:dyDescent="0.2">
      <c r="A281" s="192"/>
      <c r="B281" s="192" t="s">
        <v>429</v>
      </c>
      <c r="C281" s="192"/>
      <c r="D281" s="192"/>
      <c r="E281" s="192"/>
      <c r="F281" s="192"/>
      <c r="G281" s="294"/>
      <c r="H281" s="292">
        <f ca="1">SUM(H277:H280)</f>
        <v>11007.002674349109</v>
      </c>
      <c r="I281" s="292">
        <f t="shared" ref="I281:L281" ca="1" si="79">SUM(I277:I280)</f>
        <v>7919.21515356288</v>
      </c>
      <c r="J281" s="292">
        <f t="shared" ca="1" si="79"/>
        <v>5797.4489415741218</v>
      </c>
      <c r="K281" s="292">
        <f t="shared" ca="1" si="79"/>
        <v>4002.70504634995</v>
      </c>
      <c r="L281" s="292">
        <f t="shared" ca="1" si="79"/>
        <v>1559.9874409850236</v>
      </c>
      <c r="M281" s="192"/>
      <c r="N281" s="192"/>
      <c r="O281" s="192"/>
    </row>
    <row r="282" spans="1:15" x14ac:dyDescent="0.2">
      <c r="A282" s="192"/>
      <c r="B282" s="192"/>
      <c r="C282" s="192"/>
      <c r="D282" s="192"/>
      <c r="E282" s="192"/>
      <c r="F282" s="192"/>
      <c r="G282" s="294"/>
      <c r="H282" s="192"/>
      <c r="I282" s="192"/>
      <c r="J282" s="192"/>
      <c r="K282" s="192"/>
      <c r="L282" s="192"/>
      <c r="M282" s="192"/>
      <c r="N282" s="192"/>
      <c r="O282" s="192"/>
    </row>
    <row r="283" spans="1:15" x14ac:dyDescent="0.2">
      <c r="A283" s="192"/>
      <c r="B283" s="197" t="s">
        <v>430</v>
      </c>
      <c r="C283" s="192"/>
      <c r="D283" s="192"/>
      <c r="E283" s="202" t="s">
        <v>256</v>
      </c>
      <c r="F283" s="202" t="s">
        <v>254</v>
      </c>
      <c r="G283" s="294"/>
      <c r="H283" s="192"/>
      <c r="I283" s="192"/>
      <c r="J283" s="192"/>
      <c r="K283" s="192"/>
      <c r="L283" s="192"/>
      <c r="M283" s="192"/>
      <c r="N283" s="192"/>
      <c r="O283" s="192"/>
    </row>
    <row r="284" spans="1:15" x14ac:dyDescent="0.2">
      <c r="A284" s="192"/>
      <c r="B284" s="192" t="s">
        <v>134</v>
      </c>
      <c r="C284" s="192"/>
      <c r="D284" s="192"/>
      <c r="E284" s="303">
        <f>L52</f>
        <v>75</v>
      </c>
      <c r="F284" s="409">
        <f>J52</f>
        <v>5</v>
      </c>
      <c r="G284" s="294"/>
      <c r="H284" s="303">
        <f>E284/F284</f>
        <v>15</v>
      </c>
      <c r="I284" s="303">
        <f>H284</f>
        <v>15</v>
      </c>
      <c r="J284" s="303">
        <f t="shared" ref="J284:L285" si="80">I284</f>
        <v>15</v>
      </c>
      <c r="K284" s="303">
        <f t="shared" si="80"/>
        <v>15</v>
      </c>
      <c r="L284" s="303">
        <f t="shared" si="80"/>
        <v>15</v>
      </c>
      <c r="M284" s="192"/>
      <c r="N284" s="192"/>
      <c r="O284" s="192"/>
    </row>
    <row r="285" spans="1:15" x14ac:dyDescent="0.2">
      <c r="A285" s="192"/>
      <c r="B285" s="192" t="s">
        <v>431</v>
      </c>
      <c r="C285" s="192"/>
      <c r="D285" s="192"/>
      <c r="E285" s="303">
        <f ca="1">L53</f>
        <v>2138.2195454545463</v>
      </c>
      <c r="F285" s="409">
        <f>J53</f>
        <v>5</v>
      </c>
      <c r="G285" s="294"/>
      <c r="H285" s="303">
        <f ca="1">E285/F285</f>
        <v>427.64390909090923</v>
      </c>
      <c r="I285" s="303">
        <f ca="1">H285</f>
        <v>427.64390909090923</v>
      </c>
      <c r="J285" s="303">
        <f t="shared" ca="1" si="80"/>
        <v>427.64390909090923</v>
      </c>
      <c r="K285" s="303">
        <f t="shared" ca="1" si="80"/>
        <v>427.64390909090923</v>
      </c>
      <c r="L285" s="303">
        <f t="shared" ca="1" si="80"/>
        <v>427.64390909090923</v>
      </c>
      <c r="M285" s="192"/>
      <c r="N285" s="192"/>
      <c r="O285" s="192"/>
    </row>
    <row r="286" spans="1:15" x14ac:dyDescent="0.2">
      <c r="A286" s="192"/>
      <c r="B286" s="192" t="s">
        <v>432</v>
      </c>
      <c r="C286" s="192"/>
      <c r="D286" s="192"/>
      <c r="E286" s="192"/>
      <c r="F286" s="192"/>
      <c r="G286" s="294"/>
      <c r="H286" s="292">
        <f ca="1">SUM(H284:H285)</f>
        <v>442.64390909090923</v>
      </c>
      <c r="I286" s="292">
        <f ca="1">SUM(I284:I285)</f>
        <v>442.64390909090923</v>
      </c>
      <c r="J286" s="292">
        <f t="shared" ref="J286:L286" ca="1" si="81">SUM(J284:J285)</f>
        <v>442.64390909090923</v>
      </c>
      <c r="K286" s="292">
        <f t="shared" ca="1" si="81"/>
        <v>442.64390909090923</v>
      </c>
      <c r="L286" s="292">
        <f t="shared" ca="1" si="81"/>
        <v>442.64390909090923</v>
      </c>
      <c r="M286" s="192"/>
      <c r="N286" s="192"/>
      <c r="O286" s="192"/>
    </row>
    <row r="287" spans="1:15" x14ac:dyDescent="0.2">
      <c r="A287" s="192"/>
      <c r="B287" s="192"/>
      <c r="C287" s="192"/>
      <c r="D287" s="192"/>
      <c r="E287" s="192"/>
      <c r="F287" s="192"/>
      <c r="G287" s="294"/>
      <c r="H287" s="192"/>
      <c r="I287" s="192"/>
      <c r="J287" s="192"/>
      <c r="K287" s="192"/>
      <c r="L287" s="192"/>
      <c r="M287" s="192"/>
      <c r="N287" s="192"/>
      <c r="O287" s="192"/>
    </row>
    <row r="288" spans="1:15" x14ac:dyDescent="0.2">
      <c r="A288" s="192"/>
      <c r="B288" s="192" t="s">
        <v>433</v>
      </c>
      <c r="C288" s="192"/>
      <c r="D288" s="192"/>
      <c r="E288" s="410">
        <v>7.4999999999999997E-3</v>
      </c>
      <c r="F288" s="192"/>
      <c r="G288" s="294"/>
      <c r="H288" s="303">
        <f ca="1">$E$288*AVERAGE(H217,H219)</f>
        <v>15</v>
      </c>
      <c r="I288" s="303">
        <f t="shared" ref="I288:L288" ca="1" si="82">$E$288*AVERAGE(I217,I219)</f>
        <v>15</v>
      </c>
      <c r="J288" s="303">
        <f t="shared" ca="1" si="82"/>
        <v>15.000000000035197</v>
      </c>
      <c r="K288" s="303">
        <f t="shared" ca="1" si="82"/>
        <v>15.000000005960674</v>
      </c>
      <c r="L288" s="303">
        <f t="shared" ca="1" si="82"/>
        <v>42.278860713353389</v>
      </c>
      <c r="M288" s="192"/>
      <c r="N288" s="192"/>
      <c r="O288" s="192"/>
    </row>
    <row r="289" spans="1:15" x14ac:dyDescent="0.2">
      <c r="A289" s="192"/>
      <c r="B289" s="192"/>
      <c r="C289" s="192"/>
      <c r="D289" s="192"/>
      <c r="E289" s="192"/>
      <c r="F289" s="192"/>
      <c r="G289" s="294"/>
      <c r="H289" s="192"/>
      <c r="I289" s="192"/>
      <c r="J289" s="192"/>
      <c r="K289" s="192"/>
      <c r="L289" s="192"/>
      <c r="M289" s="192"/>
      <c r="N289" s="192"/>
      <c r="O289" s="192"/>
    </row>
    <row r="290" spans="1:15" x14ac:dyDescent="0.2">
      <c r="A290" s="228" t="s">
        <v>183</v>
      </c>
      <c r="B290" s="216" t="s">
        <v>148</v>
      </c>
      <c r="C290" s="192"/>
      <c r="D290" s="192"/>
      <c r="E290" s="192"/>
      <c r="F290" s="192"/>
      <c r="G290" s="294"/>
      <c r="H290" s="388">
        <f ca="1">IF(circ=1,H281+H286-H288,0)</f>
        <v>11434.646583440019</v>
      </c>
      <c r="I290" s="388">
        <f ca="1">IF(circ=1,I281+I286-I288,0)</f>
        <v>8346.8590626537898</v>
      </c>
      <c r="J290" s="388">
        <f ca="1">IF(circ=1,J281+J286-J288,0)</f>
        <v>6225.0928506649952</v>
      </c>
      <c r="K290" s="388">
        <f ca="1">IF(circ=1,K281+K286-K288,0)</f>
        <v>4430.348955434898</v>
      </c>
      <c r="L290" s="388">
        <f ca="1">IF(circ=1,L281+L286-L288,0)</f>
        <v>1960.3524893625795</v>
      </c>
      <c r="M290" s="192"/>
      <c r="N290" s="192"/>
      <c r="O290" s="192"/>
    </row>
    <row r="291" spans="1:15" x14ac:dyDescent="0.2">
      <c r="A291" s="192"/>
      <c r="B291" s="192"/>
      <c r="C291" s="192"/>
      <c r="D291" s="192"/>
      <c r="E291" s="192"/>
      <c r="F291" s="192"/>
      <c r="G291" s="294"/>
      <c r="H291" s="192"/>
      <c r="I291" s="192"/>
      <c r="J291" s="192"/>
      <c r="K291" s="192"/>
      <c r="L291" s="192"/>
      <c r="M291" s="192"/>
      <c r="N291" s="192"/>
      <c r="O291" s="192"/>
    </row>
    <row r="292" spans="1:15" x14ac:dyDescent="0.2">
      <c r="A292" s="411"/>
      <c r="B292" s="200" t="s">
        <v>434</v>
      </c>
      <c r="C292" s="200"/>
      <c r="D292" s="200"/>
      <c r="E292" s="200"/>
      <c r="F292" s="200"/>
      <c r="G292" s="200"/>
      <c r="H292" s="200"/>
      <c r="I292" s="200"/>
      <c r="J292" s="200"/>
      <c r="K292" s="200"/>
      <c r="L292" s="200"/>
      <c r="M292" s="192"/>
      <c r="N292" s="192"/>
      <c r="O292" s="192"/>
    </row>
    <row r="293" spans="1:15" x14ac:dyDescent="0.2">
      <c r="A293" s="199"/>
      <c r="B293" s="192"/>
      <c r="C293" s="192"/>
      <c r="D293" s="192"/>
      <c r="E293" s="192"/>
      <c r="F293" s="192"/>
      <c r="G293" s="313">
        <f>YEAR(C21)</f>
        <v>2022</v>
      </c>
      <c r="H293" s="279">
        <f>G293+1</f>
        <v>2023</v>
      </c>
      <c r="I293" s="279">
        <f>H293+1</f>
        <v>2024</v>
      </c>
      <c r="J293" s="279">
        <f>I293+1</f>
        <v>2025</v>
      </c>
      <c r="K293" s="279">
        <f>J293+1</f>
        <v>2026</v>
      </c>
      <c r="L293" s="279">
        <f>K293+1</f>
        <v>2027</v>
      </c>
      <c r="M293" s="192"/>
      <c r="N293" s="192"/>
      <c r="O293" s="192"/>
    </row>
    <row r="294" spans="1:15" x14ac:dyDescent="0.2">
      <c r="A294" s="199"/>
      <c r="B294" s="192" t="s">
        <v>32</v>
      </c>
      <c r="C294" s="192"/>
      <c r="D294" s="192"/>
      <c r="E294" s="192"/>
      <c r="F294" s="192"/>
      <c r="G294" s="384"/>
      <c r="H294" s="402">
        <f ca="1">H159</f>
        <v>3432.811034369337</v>
      </c>
      <c r="I294" s="402">
        <f t="shared" ref="I294:L294" ca="1" si="83">I159</f>
        <v>17211.358250826328</v>
      </c>
      <c r="J294" s="402">
        <f t="shared" ca="1" si="83"/>
        <v>35435.630325244441</v>
      </c>
      <c r="K294" s="402">
        <f t="shared" ca="1" si="83"/>
        <v>59101.154575891247</v>
      </c>
      <c r="L294" s="402">
        <f t="shared" ca="1" si="83"/>
        <v>89269.313999748003</v>
      </c>
      <c r="M294" s="192"/>
      <c r="N294" s="192"/>
      <c r="O294" s="192"/>
    </row>
    <row r="295" spans="1:15" x14ac:dyDescent="0.2">
      <c r="A295" s="192"/>
      <c r="B295" s="192" t="s">
        <v>435</v>
      </c>
      <c r="C295" s="192"/>
      <c r="D295" s="192"/>
      <c r="E295" s="192"/>
      <c r="F295" s="192"/>
      <c r="G295" s="294"/>
      <c r="H295" s="303">
        <f ca="1">H321</f>
        <v>3904.1121672164845</v>
      </c>
      <c r="I295" s="303">
        <f t="shared" ref="I295:L295" ca="1" si="84">I321</f>
        <v>-2822.3593397905552</v>
      </c>
      <c r="J295" s="303">
        <f t="shared" ca="1" si="84"/>
        <v>-1081.7528274259294</v>
      </c>
      <c r="K295" s="303">
        <f t="shared" ca="1" si="84"/>
        <v>0</v>
      </c>
      <c r="L295" s="303">
        <f t="shared" ca="1" si="84"/>
        <v>0</v>
      </c>
      <c r="M295" s="192"/>
      <c r="N295" s="192"/>
      <c r="O295" s="300"/>
    </row>
    <row r="296" spans="1:15" x14ac:dyDescent="0.2">
      <c r="A296" s="192"/>
      <c r="B296" s="192" t="s">
        <v>436</v>
      </c>
      <c r="C296" s="192"/>
      <c r="D296" s="192"/>
      <c r="E296" s="192"/>
      <c r="F296" s="192"/>
      <c r="G296" s="294"/>
      <c r="H296" s="303">
        <f>-H326</f>
        <v>-3104.915914087288</v>
      </c>
      <c r="I296" s="303">
        <f t="shared" ref="I296:L296" si="85">-I326</f>
        <v>-4381.0736633529077</v>
      </c>
      <c r="J296" s="303">
        <f t="shared" si="85"/>
        <v>-6181.4713230661246</v>
      </c>
      <c r="K296" s="303">
        <f t="shared" si="85"/>
        <v>-8740.9733094904095</v>
      </c>
      <c r="L296" s="303">
        <f t="shared" si="85"/>
        <v>-9926.2846655315316</v>
      </c>
      <c r="M296" s="412"/>
      <c r="N296" s="192"/>
      <c r="O296" s="300"/>
    </row>
    <row r="297" spans="1:15" x14ac:dyDescent="0.2">
      <c r="A297" s="192"/>
      <c r="B297" s="192" t="s">
        <v>437</v>
      </c>
      <c r="C297" s="192"/>
      <c r="D297" s="192"/>
      <c r="E297" s="192"/>
      <c r="F297" s="192"/>
      <c r="G297" s="294"/>
      <c r="H297" s="303">
        <f>H335</f>
        <v>0</v>
      </c>
      <c r="I297" s="303">
        <f t="shared" ref="I297:L297" si="86">I335</f>
        <v>388.114489260911</v>
      </c>
      <c r="J297" s="303">
        <f t="shared" si="86"/>
        <v>935.74869718002458</v>
      </c>
      <c r="K297" s="303">
        <f t="shared" si="86"/>
        <v>1708.4326125632904</v>
      </c>
      <c r="L297" s="303">
        <f t="shared" si="86"/>
        <v>2801.0542762495916</v>
      </c>
      <c r="M297" s="192"/>
      <c r="N297" s="192"/>
      <c r="O297" s="192"/>
    </row>
    <row r="298" spans="1:15" x14ac:dyDescent="0.2">
      <c r="A298" s="192"/>
      <c r="B298" s="192" t="s">
        <v>438</v>
      </c>
      <c r="C298" s="192"/>
      <c r="D298" s="192"/>
      <c r="E298" s="192"/>
      <c r="F298" s="192"/>
      <c r="G298" s="294"/>
      <c r="H298" s="413">
        <f ca="1">SUM(H294:H297)</f>
        <v>4232.0072874985335</v>
      </c>
      <c r="I298" s="414">
        <f t="shared" ref="I298:L298" ca="1" si="87">SUM(I294:I297)</f>
        <v>10396.039736943778</v>
      </c>
      <c r="J298" s="414">
        <f t="shared" ca="1" si="87"/>
        <v>29108.154871932409</v>
      </c>
      <c r="K298" s="414">
        <f t="shared" ca="1" si="87"/>
        <v>52068.613878964126</v>
      </c>
      <c r="L298" s="414">
        <f t="shared" ca="1" si="87"/>
        <v>82144.083610466056</v>
      </c>
      <c r="M298" s="192"/>
      <c r="N298" s="192"/>
      <c r="O298" s="192"/>
    </row>
    <row r="299" spans="1:15" x14ac:dyDescent="0.2">
      <c r="A299" s="192"/>
      <c r="B299" s="192" t="s">
        <v>439</v>
      </c>
      <c r="C299" s="192"/>
      <c r="D299" s="192"/>
      <c r="E299" s="192"/>
      <c r="F299" s="192"/>
      <c r="G299" s="294"/>
      <c r="H299" s="303">
        <f ca="1">H340</f>
        <v>-844</v>
      </c>
      <c r="I299" s="303">
        <f t="shared" ref="I299:L299" ca="1" si="88">I340</f>
        <v>0</v>
      </c>
      <c r="J299" s="303">
        <f t="shared" ca="1" si="88"/>
        <v>0</v>
      </c>
      <c r="K299" s="303">
        <f t="shared" ca="1" si="88"/>
        <v>0</v>
      </c>
      <c r="L299" s="303">
        <f t="shared" ca="1" si="88"/>
        <v>0</v>
      </c>
      <c r="M299" s="192"/>
      <c r="N299" s="192"/>
      <c r="O299" s="192"/>
    </row>
    <row r="300" spans="1:15" x14ac:dyDescent="0.2">
      <c r="A300" s="192"/>
      <c r="B300" s="192" t="s">
        <v>440</v>
      </c>
      <c r="C300" s="192"/>
      <c r="D300" s="192"/>
      <c r="E300" s="192"/>
      <c r="F300" s="192"/>
      <c r="G300" s="294"/>
      <c r="H300" s="292">
        <f ca="1">SUM(H298:H299)</f>
        <v>3388.0072874985335</v>
      </c>
      <c r="I300" s="292">
        <f t="shared" ref="I300:L300" ca="1" si="89">SUM(I298:I299)</f>
        <v>10396.039736943778</v>
      </c>
      <c r="J300" s="292">
        <f t="shared" ca="1" si="89"/>
        <v>29108.154871932409</v>
      </c>
      <c r="K300" s="292">
        <f t="shared" ca="1" si="89"/>
        <v>52068.613878964126</v>
      </c>
      <c r="L300" s="292">
        <f t="shared" ca="1" si="89"/>
        <v>82144.083610466056</v>
      </c>
      <c r="M300" s="192"/>
      <c r="N300" s="192"/>
      <c r="O300" s="192"/>
    </row>
    <row r="301" spans="1:15" x14ac:dyDescent="0.2">
      <c r="A301" s="192"/>
      <c r="B301" s="192"/>
      <c r="C301" s="192"/>
      <c r="D301" s="202" t="s">
        <v>441</v>
      </c>
      <c r="E301" s="202" t="s">
        <v>442</v>
      </c>
      <c r="F301" s="202" t="s">
        <v>443</v>
      </c>
      <c r="G301" s="294"/>
      <c r="H301" s="192"/>
      <c r="I301" s="192"/>
      <c r="J301" s="192"/>
      <c r="K301" s="192"/>
      <c r="L301" s="192"/>
      <c r="M301" s="192"/>
      <c r="N301" s="192"/>
      <c r="O301" s="192"/>
    </row>
    <row r="302" spans="1:15" x14ac:dyDescent="0.2">
      <c r="A302" s="192"/>
      <c r="B302" s="216" t="s">
        <v>378</v>
      </c>
      <c r="C302" s="192"/>
      <c r="D302" s="415">
        <v>7.0000000000000007E-2</v>
      </c>
      <c r="E302" s="415">
        <v>0.21</v>
      </c>
      <c r="F302" s="416">
        <f>SUM(D302:E302)</f>
        <v>0.28000000000000003</v>
      </c>
      <c r="G302" s="294"/>
      <c r="H302" s="221">
        <f ca="1">MAX(H300*$F$302,0)</f>
        <v>948.64204049958948</v>
      </c>
      <c r="I302" s="221">
        <f ca="1">MAX(I300*$F$302,0)</f>
        <v>2910.8911263442583</v>
      </c>
      <c r="J302" s="221">
        <f ca="1">MAX(J300*$F$302,0)</f>
        <v>8150.2833641410753</v>
      </c>
      <c r="K302" s="221">
        <f ca="1">MAX(K300*$F$302,0)</f>
        <v>14579.211886109957</v>
      </c>
      <c r="L302" s="221">
        <f ca="1">MAX(L300*$F$302,0)</f>
        <v>23000.343410930498</v>
      </c>
      <c r="M302" s="235"/>
      <c r="N302" s="192"/>
      <c r="O302" s="192"/>
    </row>
    <row r="303" spans="1:15" x14ac:dyDescent="0.2">
      <c r="A303" s="192"/>
      <c r="B303" s="192"/>
      <c r="C303" s="192"/>
      <c r="D303" s="192"/>
      <c r="E303" s="192"/>
      <c r="F303" s="192"/>
      <c r="G303" s="294"/>
      <c r="H303" s="192"/>
      <c r="I303" s="192"/>
      <c r="J303" s="192"/>
      <c r="K303" s="192"/>
      <c r="L303" s="192"/>
      <c r="M303" s="235"/>
      <c r="N303" s="192"/>
      <c r="O303" s="192"/>
    </row>
    <row r="304" spans="1:15" x14ac:dyDescent="0.2">
      <c r="A304" s="192"/>
      <c r="B304" s="192"/>
      <c r="C304" s="192"/>
      <c r="D304" s="192"/>
      <c r="E304" s="202" t="s">
        <v>23</v>
      </c>
      <c r="F304" s="192"/>
      <c r="G304" s="294"/>
      <c r="H304" s="192"/>
      <c r="I304" s="192"/>
      <c r="J304" s="192"/>
      <c r="K304" s="192"/>
      <c r="L304" s="192"/>
      <c r="M304" s="192"/>
      <c r="N304" s="192"/>
      <c r="O304" s="192"/>
    </row>
    <row r="305" spans="1:15" x14ac:dyDescent="0.2">
      <c r="A305" s="192"/>
      <c r="B305" s="197" t="s">
        <v>444</v>
      </c>
      <c r="C305" s="192"/>
      <c r="D305" s="192"/>
      <c r="E305" s="202" t="s">
        <v>445</v>
      </c>
      <c r="F305" s="192"/>
      <c r="G305" s="294"/>
      <c r="H305" s="192"/>
      <c r="I305" s="192"/>
      <c r="J305" s="192"/>
      <c r="K305" s="192"/>
      <c r="L305" s="192"/>
      <c r="M305" s="192"/>
      <c r="N305" s="192"/>
      <c r="O305" s="192"/>
    </row>
    <row r="306" spans="1:15" x14ac:dyDescent="0.2">
      <c r="A306" s="192"/>
      <c r="B306" s="198" t="s">
        <v>446</v>
      </c>
      <c r="C306" s="192"/>
      <c r="D306" s="192"/>
      <c r="E306" s="417">
        <v>2024</v>
      </c>
      <c r="F306" s="192"/>
      <c r="G306" s="294"/>
      <c r="H306" s="418" t="str">
        <f>IF(H293&gt;$E$306,"EBIT","EBITDA")</f>
        <v>EBITDA</v>
      </c>
      <c r="I306" s="418" t="str">
        <f t="shared" ref="I306:L306" si="90">IF(I293&gt;$E$306,"EBIT","EBITDA")</f>
        <v>EBITDA</v>
      </c>
      <c r="J306" s="418" t="str">
        <f t="shared" si="90"/>
        <v>EBIT</v>
      </c>
      <c r="K306" s="418" t="str">
        <f t="shared" si="90"/>
        <v>EBIT</v>
      </c>
      <c r="L306" s="418" t="str">
        <f t="shared" si="90"/>
        <v>EBIT</v>
      </c>
      <c r="M306" s="192"/>
      <c r="N306" s="192"/>
      <c r="O306" s="192"/>
    </row>
    <row r="307" spans="1:15" x14ac:dyDescent="0.2">
      <c r="A307" s="192"/>
      <c r="B307" s="192" t="s">
        <v>447</v>
      </c>
      <c r="C307" s="192"/>
      <c r="D307" s="192"/>
      <c r="E307" s="192"/>
      <c r="F307" s="192"/>
      <c r="G307" s="294"/>
      <c r="H307" s="402">
        <f>IF(H293&gt;$E$306,H155-H326+H335,H140+H326-H335)</f>
        <v>25101.781387411782</v>
      </c>
      <c r="I307" s="402">
        <f t="shared" ref="I307:L307" si="91">IF(I293&gt;$E$306,I155-I326+I335,I140+I326-I335)</f>
        <v>37230.728008147817</v>
      </c>
      <c r="J307" s="402">
        <f t="shared" si="91"/>
        <v>36415.000550023833</v>
      </c>
      <c r="K307" s="402">
        <f t="shared" si="91"/>
        <v>56498.962834561105</v>
      </c>
      <c r="L307" s="402">
        <f t="shared" si="91"/>
        <v>84104.436098646343</v>
      </c>
      <c r="M307" s="192"/>
      <c r="N307" s="192"/>
      <c r="O307" s="192"/>
    </row>
    <row r="308" spans="1:15" x14ac:dyDescent="0.2">
      <c r="A308" s="192"/>
      <c r="B308" s="192"/>
      <c r="C308" s="192"/>
      <c r="D308" s="192"/>
      <c r="E308" s="192"/>
      <c r="F308" s="192"/>
      <c r="G308" s="294"/>
      <c r="H308" s="235"/>
      <c r="I308" s="235"/>
      <c r="J308" s="235"/>
      <c r="K308" s="235"/>
      <c r="L308" s="235"/>
      <c r="M308" s="192"/>
      <c r="N308" s="192"/>
      <c r="O308" s="192"/>
    </row>
    <row r="309" spans="1:15" x14ac:dyDescent="0.2">
      <c r="A309" s="192"/>
      <c r="B309" s="192" t="s">
        <v>448</v>
      </c>
      <c r="C309" s="192"/>
      <c r="D309" s="192"/>
      <c r="E309" s="415">
        <v>0.3</v>
      </c>
      <c r="F309" s="192"/>
      <c r="G309" s="294"/>
      <c r="H309" s="303">
        <f>MAX($E$309*H307,0)</f>
        <v>7530.5344162235342</v>
      </c>
      <c r="I309" s="303">
        <f t="shared" ref="I309:L309" si="92">MAX($E$309*I307,0)</f>
        <v>11169.218402444345</v>
      </c>
      <c r="J309" s="303">
        <f t="shared" si="92"/>
        <v>10924.50016500715</v>
      </c>
      <c r="K309" s="303">
        <f t="shared" si="92"/>
        <v>16949.688850368329</v>
      </c>
      <c r="L309" s="303">
        <f t="shared" si="92"/>
        <v>25231.330829593902</v>
      </c>
      <c r="M309" s="192"/>
      <c r="N309" s="192"/>
      <c r="O309" s="192"/>
    </row>
    <row r="310" spans="1:15" x14ac:dyDescent="0.2">
      <c r="A310" s="192"/>
      <c r="B310" s="192" t="s">
        <v>449</v>
      </c>
      <c r="C310" s="192"/>
      <c r="D310" s="192"/>
      <c r="E310" s="192"/>
      <c r="F310" s="192"/>
      <c r="G310" s="286"/>
      <c r="H310" s="303">
        <f ca="1">H290</f>
        <v>11434.646583440019</v>
      </c>
      <c r="I310" s="303">
        <f t="shared" ref="I310:L310" ca="1" si="93">I290</f>
        <v>8346.8590626537898</v>
      </c>
      <c r="J310" s="303">
        <f t="shared" ca="1" si="93"/>
        <v>6225.0928506649952</v>
      </c>
      <c r="K310" s="303">
        <f t="shared" ca="1" si="93"/>
        <v>4430.348955434898</v>
      </c>
      <c r="L310" s="303">
        <f t="shared" ca="1" si="93"/>
        <v>1960.3524893625795</v>
      </c>
      <c r="M310" s="381"/>
      <c r="N310" s="192"/>
      <c r="O310" s="192"/>
    </row>
    <row r="311" spans="1:15" x14ac:dyDescent="0.2">
      <c r="A311" s="192"/>
      <c r="B311" s="192" t="s">
        <v>450</v>
      </c>
      <c r="C311" s="192"/>
      <c r="D311" s="192"/>
      <c r="E311" s="192"/>
      <c r="F311" s="192"/>
      <c r="G311" s="294"/>
      <c r="H311" s="283">
        <f ca="1">MIN(H309:H310)</f>
        <v>7530.5344162235342</v>
      </c>
      <c r="I311" s="283">
        <f t="shared" ref="I311:L311" ca="1" si="94">MIN(I309:I310)</f>
        <v>8346.8590626537898</v>
      </c>
      <c r="J311" s="283">
        <f t="shared" ca="1" si="94"/>
        <v>6225.0928506649952</v>
      </c>
      <c r="K311" s="283">
        <f t="shared" ca="1" si="94"/>
        <v>4430.348955434898</v>
      </c>
      <c r="L311" s="283">
        <f t="shared" ca="1" si="94"/>
        <v>1960.3524893625795</v>
      </c>
      <c r="M311" s="381"/>
      <c r="N311" s="192"/>
      <c r="O311" s="192"/>
    </row>
    <row r="312" spans="1:15" x14ac:dyDescent="0.2">
      <c r="A312" s="192"/>
      <c r="B312" s="192"/>
      <c r="C312" s="192"/>
      <c r="D312" s="192"/>
      <c r="E312" s="192"/>
      <c r="F312" s="192"/>
      <c r="G312" s="294"/>
      <c r="H312" s="192"/>
      <c r="I312" s="192"/>
      <c r="J312" s="192"/>
      <c r="K312" s="192"/>
      <c r="L312" s="192"/>
      <c r="M312" s="192"/>
      <c r="N312" s="192"/>
      <c r="O312" s="192"/>
    </row>
    <row r="313" spans="1:15" x14ac:dyDescent="0.2">
      <c r="A313" s="192"/>
      <c r="B313" s="192" t="s">
        <v>451</v>
      </c>
      <c r="C313" s="192"/>
      <c r="D313" s="192"/>
      <c r="E313" s="192"/>
      <c r="F313" s="192"/>
      <c r="G313" s="294"/>
      <c r="H313" s="303">
        <f ca="1">H310-H311</f>
        <v>3904.1121672164845</v>
      </c>
      <c r="I313" s="303">
        <f t="shared" ref="I313:L313" ca="1" si="95">I310-I311</f>
        <v>0</v>
      </c>
      <c r="J313" s="303">
        <f t="shared" ca="1" si="95"/>
        <v>0</v>
      </c>
      <c r="K313" s="303">
        <f t="shared" ca="1" si="95"/>
        <v>0</v>
      </c>
      <c r="L313" s="303">
        <f t="shared" ca="1" si="95"/>
        <v>0</v>
      </c>
      <c r="M313" s="192"/>
      <c r="N313" s="192"/>
      <c r="O313" s="192"/>
    </row>
    <row r="314" spans="1:15" x14ac:dyDescent="0.2">
      <c r="A314" s="192"/>
      <c r="B314" s="192"/>
      <c r="C314" s="192"/>
      <c r="D314" s="192"/>
      <c r="E314" s="192"/>
      <c r="F314" s="192"/>
      <c r="G314" s="294"/>
      <c r="H314" s="192"/>
      <c r="I314" s="192"/>
      <c r="J314" s="192"/>
      <c r="K314" s="192"/>
      <c r="L314" s="192"/>
      <c r="M314" s="192"/>
      <c r="N314" s="192"/>
      <c r="O314" s="192"/>
    </row>
    <row r="315" spans="1:15" x14ac:dyDescent="0.2">
      <c r="A315" s="192"/>
      <c r="B315" s="198" t="s">
        <v>452</v>
      </c>
      <c r="C315" s="192"/>
      <c r="D315" s="192"/>
      <c r="E315" s="192"/>
      <c r="F315" s="192"/>
      <c r="G315" s="294"/>
      <c r="H315" s="192"/>
      <c r="I315" s="192"/>
      <c r="J315" s="192"/>
      <c r="K315" s="192"/>
      <c r="L315" s="192"/>
      <c r="M315" s="192"/>
      <c r="N315" s="192"/>
      <c r="O315" s="192"/>
    </row>
    <row r="316" spans="1:15" x14ac:dyDescent="0.2">
      <c r="A316" s="192"/>
      <c r="B316" s="192" t="s">
        <v>130</v>
      </c>
      <c r="C316" s="192"/>
      <c r="D316" s="192"/>
      <c r="E316" s="192"/>
      <c r="F316" s="192"/>
      <c r="G316" s="294"/>
      <c r="H316" s="419">
        <v>0</v>
      </c>
      <c r="I316" s="402">
        <f ca="1">H319</f>
        <v>3904.1121672164845</v>
      </c>
      <c r="J316" s="402">
        <f t="shared" ref="J316:L316" ca="1" si="96">I319</f>
        <v>1081.7528274259294</v>
      </c>
      <c r="K316" s="402">
        <f t="shared" ca="1" si="96"/>
        <v>0</v>
      </c>
      <c r="L316" s="402">
        <f t="shared" ca="1" si="96"/>
        <v>0</v>
      </c>
      <c r="M316" s="381"/>
      <c r="N316" s="192"/>
      <c r="O316" s="192"/>
    </row>
    <row r="317" spans="1:15" x14ac:dyDescent="0.2">
      <c r="A317" s="192"/>
      <c r="B317" s="192" t="s">
        <v>97</v>
      </c>
      <c r="C317" s="192"/>
      <c r="D317" s="192"/>
      <c r="E317" s="192"/>
      <c r="F317" s="192"/>
      <c r="G317" s="294"/>
      <c r="H317" s="303">
        <f ca="1">H313</f>
        <v>3904.1121672164845</v>
      </c>
      <c r="I317" s="303">
        <f ca="1">I313</f>
        <v>0</v>
      </c>
      <c r="J317" s="303">
        <f t="shared" ref="J317:L317" ca="1" si="97">J313</f>
        <v>0</v>
      </c>
      <c r="K317" s="303">
        <f t="shared" ca="1" si="97"/>
        <v>0</v>
      </c>
      <c r="L317" s="303">
        <f t="shared" ca="1" si="97"/>
        <v>0</v>
      </c>
      <c r="M317" s="235"/>
      <c r="N317" s="192"/>
      <c r="O317" s="192"/>
    </row>
    <row r="318" spans="1:15" x14ac:dyDescent="0.2">
      <c r="A318" s="192"/>
      <c r="B318" s="192" t="s">
        <v>453</v>
      </c>
      <c r="C318" s="192"/>
      <c r="D318" s="192"/>
      <c r="E318" s="192"/>
      <c r="F318" s="192"/>
      <c r="G318" s="294"/>
      <c r="H318" s="303">
        <f ca="1">IF(H313&gt;0,0,-MIN(H316,H309-H310))</f>
        <v>0</v>
      </c>
      <c r="I318" s="303">
        <f ca="1">IF(I313&gt;0,0,-MIN(I316,I309-I310))</f>
        <v>-2822.3593397905552</v>
      </c>
      <c r="J318" s="303">
        <f t="shared" ref="J318:L318" ca="1" si="98">IF(J313&gt;0,0,-MIN(J316,J309-J310))</f>
        <v>-1081.7528274259294</v>
      </c>
      <c r="K318" s="303">
        <f t="shared" ca="1" si="98"/>
        <v>0</v>
      </c>
      <c r="L318" s="303">
        <f t="shared" ca="1" si="98"/>
        <v>0</v>
      </c>
      <c r="M318" s="235"/>
      <c r="N318" s="192"/>
      <c r="O318" s="192"/>
    </row>
    <row r="319" spans="1:15" x14ac:dyDescent="0.2">
      <c r="A319" s="192"/>
      <c r="B319" s="192" t="s">
        <v>133</v>
      </c>
      <c r="C319" s="192"/>
      <c r="D319" s="192"/>
      <c r="E319" s="192"/>
      <c r="F319" s="192"/>
      <c r="G319" s="294"/>
      <c r="H319" s="292">
        <f ca="1">SUM(H316:H318)</f>
        <v>3904.1121672164845</v>
      </c>
      <c r="I319" s="292">
        <f ca="1">SUM(I316:I318)</f>
        <v>1081.7528274259294</v>
      </c>
      <c r="J319" s="292">
        <f t="shared" ref="J319:L319" ca="1" si="99">SUM(J316:J318)</f>
        <v>0</v>
      </c>
      <c r="K319" s="292">
        <f t="shared" ca="1" si="99"/>
        <v>0</v>
      </c>
      <c r="L319" s="292">
        <f t="shared" ca="1" si="99"/>
        <v>0</v>
      </c>
      <c r="M319" s="192"/>
      <c r="N319" s="192"/>
      <c r="O319" s="192"/>
    </row>
    <row r="320" spans="1:15" x14ac:dyDescent="0.2">
      <c r="A320" s="192"/>
      <c r="B320" s="192"/>
      <c r="C320" s="192"/>
      <c r="D320" s="192"/>
      <c r="E320" s="192"/>
      <c r="F320" s="192"/>
      <c r="G320" s="294"/>
      <c r="H320" s="192"/>
      <c r="I320" s="192"/>
      <c r="J320" s="192"/>
      <c r="K320" s="192"/>
      <c r="L320" s="192"/>
      <c r="M320" s="192"/>
      <c r="N320" s="192"/>
      <c r="O320" s="192"/>
    </row>
    <row r="321" spans="1:15" x14ac:dyDescent="0.2">
      <c r="A321" s="192"/>
      <c r="B321" s="192" t="s">
        <v>435</v>
      </c>
      <c r="C321" s="192"/>
      <c r="D321" s="192"/>
      <c r="E321" s="192"/>
      <c r="F321" s="192"/>
      <c r="G321" s="294"/>
      <c r="H321" s="303">
        <f ca="1">SUM(H317:H318)</f>
        <v>3904.1121672164845</v>
      </c>
      <c r="I321" s="303">
        <f t="shared" ref="I321:L321" ca="1" si="100">SUM(I317:I318)</f>
        <v>-2822.3593397905552</v>
      </c>
      <c r="J321" s="303">
        <f t="shared" ca="1" si="100"/>
        <v>-1081.7528274259294</v>
      </c>
      <c r="K321" s="303">
        <f t="shared" ca="1" si="100"/>
        <v>0</v>
      </c>
      <c r="L321" s="303">
        <f t="shared" ca="1" si="100"/>
        <v>0</v>
      </c>
      <c r="M321" s="192"/>
      <c r="N321" s="192"/>
      <c r="O321" s="192"/>
    </row>
    <row r="322" spans="1:15" x14ac:dyDescent="0.2">
      <c r="A322" s="192"/>
      <c r="B322" s="192"/>
      <c r="C322" s="192"/>
      <c r="D322" s="192"/>
      <c r="E322" s="192"/>
      <c r="F322" s="192"/>
      <c r="G322" s="294"/>
      <c r="H322" s="192"/>
      <c r="I322" s="192"/>
      <c r="J322" s="192"/>
      <c r="K322" s="192"/>
      <c r="L322" s="192"/>
      <c r="M322" s="192"/>
      <c r="N322" s="192"/>
      <c r="O322" s="192"/>
    </row>
    <row r="323" spans="1:15" x14ac:dyDescent="0.2">
      <c r="A323" s="192"/>
      <c r="B323" s="197" t="s">
        <v>454</v>
      </c>
      <c r="C323" s="192"/>
      <c r="D323" s="192"/>
      <c r="E323" s="192"/>
      <c r="F323" s="192"/>
      <c r="G323" s="294"/>
      <c r="H323" s="192"/>
      <c r="I323" s="192"/>
      <c r="J323" s="192"/>
      <c r="K323" s="192"/>
      <c r="L323" s="192"/>
      <c r="M323" s="192"/>
      <c r="N323" s="192"/>
      <c r="O323" s="192"/>
    </row>
    <row r="324" spans="1:15" x14ac:dyDescent="0.2">
      <c r="A324" s="192"/>
      <c r="B324" s="192" t="s">
        <v>455</v>
      </c>
      <c r="C324" s="192"/>
      <c r="D324" s="420" t="s">
        <v>456</v>
      </c>
      <c r="E324" s="421">
        <v>2027</v>
      </c>
      <c r="F324" s="415">
        <v>0.2</v>
      </c>
      <c r="G324" s="422"/>
      <c r="H324" s="400">
        <f>IF(H293&lt;$E$324,100%,MAX(G324-$F$324,0))</f>
        <v>1</v>
      </c>
      <c r="I324" s="400">
        <f t="shared" ref="I324:L324" si="101">IF(I293&lt;$E$324,100%,MAX(H324-$F$324,0))</f>
        <v>1</v>
      </c>
      <c r="J324" s="400">
        <f t="shared" si="101"/>
        <v>1</v>
      </c>
      <c r="K324" s="400">
        <f t="shared" si="101"/>
        <v>1</v>
      </c>
      <c r="L324" s="400">
        <f t="shared" si="101"/>
        <v>0.8</v>
      </c>
      <c r="M324" s="235"/>
      <c r="N324" s="192"/>
      <c r="O324" s="192"/>
    </row>
    <row r="325" spans="1:15" x14ac:dyDescent="0.2">
      <c r="A325" s="192"/>
      <c r="B325" s="192" t="s">
        <v>457</v>
      </c>
      <c r="C325" s="192"/>
      <c r="D325" s="192"/>
      <c r="E325" s="192"/>
      <c r="F325" s="192"/>
      <c r="G325" s="294"/>
      <c r="H325" s="303">
        <f>-H206</f>
        <v>3104.915914087288</v>
      </c>
      <c r="I325" s="303">
        <f t="shared" ref="I325:L325" si="102">-I206</f>
        <v>4381.0736633529077</v>
      </c>
      <c r="J325" s="303">
        <f t="shared" si="102"/>
        <v>6181.4713230661246</v>
      </c>
      <c r="K325" s="303">
        <f t="shared" si="102"/>
        <v>8740.9733094904095</v>
      </c>
      <c r="L325" s="303">
        <f t="shared" si="102"/>
        <v>12407.855831914414</v>
      </c>
      <c r="M325" s="235"/>
      <c r="N325" s="192"/>
      <c r="O325" s="192"/>
    </row>
    <row r="326" spans="1:15" x14ac:dyDescent="0.2">
      <c r="A326" s="192"/>
      <c r="B326" s="192" t="s">
        <v>436</v>
      </c>
      <c r="C326" s="192"/>
      <c r="D326" s="192"/>
      <c r="E326" s="423">
        <v>1</v>
      </c>
      <c r="F326" s="192"/>
      <c r="G326" s="294"/>
      <c r="H326" s="303">
        <f>IF($E$326=1,H324*H325,0)</f>
        <v>3104.915914087288</v>
      </c>
      <c r="I326" s="303">
        <f t="shared" ref="I326:L326" si="103">IF($E$326=1,I324*I325,0)</f>
        <v>4381.0736633529077</v>
      </c>
      <c r="J326" s="303">
        <f t="shared" si="103"/>
        <v>6181.4713230661246</v>
      </c>
      <c r="K326" s="303">
        <f t="shared" si="103"/>
        <v>8740.9733094904095</v>
      </c>
      <c r="L326" s="303">
        <f t="shared" si="103"/>
        <v>9926.2846655315316</v>
      </c>
      <c r="M326" s="381"/>
      <c r="N326" s="192"/>
      <c r="O326" s="192"/>
    </row>
    <row r="327" spans="1:15" x14ac:dyDescent="0.2">
      <c r="A327" s="192"/>
      <c r="B327" s="192"/>
      <c r="C327" s="192"/>
      <c r="D327" s="192"/>
      <c r="E327" s="192"/>
      <c r="F327" s="192"/>
      <c r="G327" s="294"/>
      <c r="H327" s="192"/>
      <c r="I327" s="192"/>
      <c r="J327" s="192"/>
      <c r="K327" s="192"/>
      <c r="L327" s="192"/>
      <c r="M327" s="192"/>
      <c r="N327" s="192"/>
      <c r="O327" s="192"/>
    </row>
    <row r="328" spans="1:15" x14ac:dyDescent="0.2">
      <c r="A328" s="192"/>
      <c r="B328" s="197" t="s">
        <v>458</v>
      </c>
      <c r="C328" s="192"/>
      <c r="D328" s="192"/>
      <c r="E328" s="192"/>
      <c r="F328" s="192"/>
      <c r="G328" s="294"/>
      <c r="H328" s="192"/>
      <c r="I328" s="192"/>
      <c r="J328" s="192"/>
      <c r="K328" s="192"/>
      <c r="L328" s="192"/>
      <c r="M328" s="192"/>
      <c r="N328" s="192"/>
      <c r="O328" s="192"/>
    </row>
    <row r="329" spans="1:15" x14ac:dyDescent="0.2">
      <c r="A329" s="192"/>
      <c r="B329" s="192" t="str">
        <f>G329&amp;" Cohort"</f>
        <v>2023 Cohort</v>
      </c>
      <c r="C329" s="192"/>
      <c r="D329" s="420" t="s">
        <v>459</v>
      </c>
      <c r="E329" s="424">
        <f>C65</f>
        <v>8</v>
      </c>
      <c r="F329" s="192"/>
      <c r="G329" s="425">
        <f t="array" ref="G329:G333">TRANSPOSE(H293:L293)</f>
        <v>2023</v>
      </c>
      <c r="H329" s="426">
        <f>$H$326/$E$329</f>
        <v>388.114489260911</v>
      </c>
      <c r="I329" s="426">
        <f>H329</f>
        <v>388.114489260911</v>
      </c>
      <c r="J329" s="426">
        <f t="shared" ref="J329:L330" si="104">I329</f>
        <v>388.114489260911</v>
      </c>
      <c r="K329" s="426">
        <f t="shared" si="104"/>
        <v>388.114489260911</v>
      </c>
      <c r="L329" s="426">
        <f t="shared" si="104"/>
        <v>388.114489260911</v>
      </c>
      <c r="M329" s="192"/>
      <c r="N329" s="192"/>
      <c r="O329" s="192"/>
    </row>
    <row r="330" spans="1:15" x14ac:dyDescent="0.2">
      <c r="A330" s="192"/>
      <c r="B330" s="192" t="str">
        <f>G330&amp;" Cohort"</f>
        <v>2024 Cohort</v>
      </c>
      <c r="C330" s="192"/>
      <c r="D330" s="192"/>
      <c r="E330" s="192"/>
      <c r="F330" s="192"/>
      <c r="G330" s="425">
        <v>2024</v>
      </c>
      <c r="H330" s="427"/>
      <c r="I330" s="428">
        <f>$I$326/$E$329</f>
        <v>547.63420791911346</v>
      </c>
      <c r="J330" s="428">
        <f>I330</f>
        <v>547.63420791911346</v>
      </c>
      <c r="K330" s="428">
        <f t="shared" si="104"/>
        <v>547.63420791911346</v>
      </c>
      <c r="L330" s="428">
        <f t="shared" si="104"/>
        <v>547.63420791911346</v>
      </c>
      <c r="M330" s="192"/>
      <c r="N330" s="192"/>
      <c r="O330" s="192"/>
    </row>
    <row r="331" spans="1:15" x14ac:dyDescent="0.2">
      <c r="A331" s="192"/>
      <c r="B331" s="192" t="str">
        <f>G331&amp;" Cohort"</f>
        <v>2025 Cohort</v>
      </c>
      <c r="C331" s="192"/>
      <c r="D331" s="192"/>
      <c r="E331" s="192"/>
      <c r="F331" s="192"/>
      <c r="G331" s="425">
        <v>2025</v>
      </c>
      <c r="H331" s="427"/>
      <c r="I331" s="427"/>
      <c r="J331" s="428">
        <f>$J$326/$E$329</f>
        <v>772.68391538326557</v>
      </c>
      <c r="K331" s="428">
        <f>J331</f>
        <v>772.68391538326557</v>
      </c>
      <c r="L331" s="428">
        <f>K331</f>
        <v>772.68391538326557</v>
      </c>
      <c r="M331" s="380"/>
      <c r="N331" s="192"/>
      <c r="O331" s="192"/>
    </row>
    <row r="332" spans="1:15" x14ac:dyDescent="0.2">
      <c r="A332" s="192"/>
      <c r="B332" s="192" t="str">
        <f>G332&amp;" Cohort"</f>
        <v>2026 Cohort</v>
      </c>
      <c r="C332" s="192"/>
      <c r="D332" s="192"/>
      <c r="E332" s="192"/>
      <c r="F332" s="192"/>
      <c r="G332" s="425">
        <v>2026</v>
      </c>
      <c r="H332" s="427"/>
      <c r="I332" s="427"/>
      <c r="J332" s="427"/>
      <c r="K332" s="428">
        <f>$K$326/E329</f>
        <v>1092.6216636863012</v>
      </c>
      <c r="L332" s="428">
        <f>K332</f>
        <v>1092.6216636863012</v>
      </c>
      <c r="M332" s="380"/>
      <c r="N332" s="192"/>
      <c r="O332" s="192"/>
    </row>
    <row r="333" spans="1:15" x14ac:dyDescent="0.2">
      <c r="A333" s="199"/>
      <c r="B333" s="192" t="str">
        <f>G333&amp;" Cohort"</f>
        <v>2027 Cohort</v>
      </c>
      <c r="C333" s="192"/>
      <c r="D333" s="192"/>
      <c r="E333" s="192"/>
      <c r="F333" s="192"/>
      <c r="G333" s="425">
        <v>2027</v>
      </c>
      <c r="H333" s="429"/>
      <c r="I333" s="429"/>
      <c r="J333" s="429"/>
      <c r="K333" s="429"/>
      <c r="L333" s="414">
        <f>$L$326/E329</f>
        <v>1240.7855831914414</v>
      </c>
      <c r="M333" s="192"/>
      <c r="N333" s="192"/>
      <c r="O333" s="192"/>
    </row>
    <row r="334" spans="1:15" x14ac:dyDescent="0.2">
      <c r="A334" s="192"/>
      <c r="B334" s="222" t="s">
        <v>460</v>
      </c>
      <c r="C334" s="192"/>
      <c r="D334" s="192"/>
      <c r="E334" s="192"/>
      <c r="F334" s="192"/>
      <c r="G334" s="294"/>
      <c r="H334" s="413">
        <f>-H329</f>
        <v>-388.114489260911</v>
      </c>
      <c r="I334" s="414">
        <f>-I330</f>
        <v>-547.63420791911346</v>
      </c>
      <c r="J334" s="414">
        <f>-J331</f>
        <v>-772.68391538326557</v>
      </c>
      <c r="K334" s="414">
        <f>-K332</f>
        <v>-1092.6216636863012</v>
      </c>
      <c r="L334" s="414">
        <f>-L333</f>
        <v>-1240.7855831914414</v>
      </c>
      <c r="M334" s="192"/>
      <c r="N334" s="192"/>
      <c r="O334" s="192"/>
    </row>
    <row r="335" spans="1:15" x14ac:dyDescent="0.2">
      <c r="A335" s="192"/>
      <c r="B335" s="192" t="s">
        <v>437</v>
      </c>
      <c r="C335" s="192"/>
      <c r="D335" s="192"/>
      <c r="E335" s="192"/>
      <c r="F335" s="192"/>
      <c r="G335" s="294"/>
      <c r="H335" s="413">
        <f>SUM(H329:H334)</f>
        <v>0</v>
      </c>
      <c r="I335" s="414">
        <f t="shared" ref="I335:L335" si="105">SUM(I329:I334)</f>
        <v>388.114489260911</v>
      </c>
      <c r="J335" s="414">
        <f t="shared" si="105"/>
        <v>935.74869718002458</v>
      </c>
      <c r="K335" s="414">
        <f t="shared" si="105"/>
        <v>1708.4326125632904</v>
      </c>
      <c r="L335" s="414">
        <f t="shared" si="105"/>
        <v>2801.0542762495916</v>
      </c>
      <c r="M335" s="192"/>
      <c r="N335" s="192"/>
      <c r="O335" s="192"/>
    </row>
    <row r="336" spans="1:15" x14ac:dyDescent="0.2">
      <c r="A336" s="192"/>
      <c r="B336" s="192"/>
      <c r="C336" s="192"/>
      <c r="D336" s="192"/>
      <c r="E336" s="192"/>
      <c r="F336" s="192"/>
      <c r="G336" s="294"/>
      <c r="H336" s="192"/>
      <c r="I336" s="192"/>
      <c r="J336" s="192"/>
      <c r="K336" s="192"/>
      <c r="L336" s="192"/>
      <c r="M336" s="192"/>
      <c r="N336" s="192"/>
      <c r="O336" s="192"/>
    </row>
    <row r="337" spans="1:15" x14ac:dyDescent="0.2">
      <c r="A337" s="192"/>
      <c r="B337" s="197" t="s">
        <v>461</v>
      </c>
      <c r="C337" s="192"/>
      <c r="D337" s="192"/>
      <c r="E337" s="192"/>
      <c r="F337" s="192"/>
      <c r="G337" s="294"/>
      <c r="H337" s="192"/>
      <c r="I337" s="192"/>
      <c r="J337" s="192"/>
      <c r="K337" s="192"/>
      <c r="L337" s="192"/>
      <c r="M337" s="192"/>
      <c r="N337" s="192"/>
      <c r="O337" s="192"/>
    </row>
    <row r="338" spans="1:15" x14ac:dyDescent="0.2">
      <c r="A338" s="192"/>
      <c r="B338" s="192" t="s">
        <v>130</v>
      </c>
      <c r="C338" s="192"/>
      <c r="D338" s="192"/>
      <c r="E338" s="192"/>
      <c r="F338" s="430"/>
      <c r="G338" s="294"/>
      <c r="H338" s="431">
        <f>409+IF(C27="Stock Sale",435,0)</f>
        <v>844</v>
      </c>
      <c r="I338" s="303">
        <f ca="1">H341</f>
        <v>0</v>
      </c>
      <c r="J338" s="303">
        <f t="shared" ref="J338:L338" ca="1" si="106">I341</f>
        <v>0</v>
      </c>
      <c r="K338" s="303">
        <f t="shared" ca="1" si="106"/>
        <v>0</v>
      </c>
      <c r="L338" s="303">
        <f t="shared" ca="1" si="106"/>
        <v>0</v>
      </c>
      <c r="M338" s="192"/>
      <c r="N338" s="192"/>
      <c r="O338" s="192"/>
    </row>
    <row r="339" spans="1:15" x14ac:dyDescent="0.2">
      <c r="A339" s="192"/>
      <c r="B339" s="192" t="s">
        <v>97</v>
      </c>
      <c r="C339" s="192"/>
      <c r="D339" s="192"/>
      <c r="E339" s="192"/>
      <c r="F339" s="192"/>
      <c r="G339" s="294"/>
      <c r="H339" s="303">
        <f ca="1">-MIN(H298,0)</f>
        <v>0</v>
      </c>
      <c r="I339" s="303">
        <f ca="1">-MIN(I298,0)</f>
        <v>0</v>
      </c>
      <c r="J339" s="303">
        <f t="shared" ref="J339:L339" ca="1" si="107">-MIN(J298,0)</f>
        <v>0</v>
      </c>
      <c r="K339" s="303">
        <f t="shared" ca="1" si="107"/>
        <v>0</v>
      </c>
      <c r="L339" s="303">
        <f t="shared" ca="1" si="107"/>
        <v>0</v>
      </c>
      <c r="M339" s="192"/>
      <c r="N339" s="192"/>
      <c r="O339" s="192"/>
    </row>
    <row r="340" spans="1:15" x14ac:dyDescent="0.2">
      <c r="A340" s="192"/>
      <c r="B340" s="192" t="s">
        <v>439</v>
      </c>
      <c r="C340" s="192"/>
      <c r="D340" s="420" t="s">
        <v>462</v>
      </c>
      <c r="E340" s="415">
        <v>0.8</v>
      </c>
      <c r="F340" s="192"/>
      <c r="G340" s="294"/>
      <c r="H340" s="303">
        <f ca="1">IF(H298&gt;0,-MIN(H338,MAX(H298*$E$340,0)),0)</f>
        <v>-844</v>
      </c>
      <c r="I340" s="303">
        <f ca="1">IF(I298&gt;0,-MIN(I338,MAX(I298*$E$340,0)),0)</f>
        <v>0</v>
      </c>
      <c r="J340" s="303">
        <f t="shared" ref="J340:L340" ca="1" si="108">IF(J298&gt;0,-MIN(J338,MAX(J298*$E$340,0)),0)</f>
        <v>0</v>
      </c>
      <c r="K340" s="303">
        <f t="shared" ca="1" si="108"/>
        <v>0</v>
      </c>
      <c r="L340" s="303">
        <f t="shared" ca="1" si="108"/>
        <v>0</v>
      </c>
      <c r="M340" s="192"/>
      <c r="N340" s="192"/>
      <c r="O340" s="192"/>
    </row>
    <row r="341" spans="1:15" x14ac:dyDescent="0.2">
      <c r="A341" s="228" t="s">
        <v>183</v>
      </c>
      <c r="B341" s="192" t="s">
        <v>133</v>
      </c>
      <c r="C341" s="192"/>
      <c r="D341" s="192"/>
      <c r="E341" s="192"/>
      <c r="F341" s="192"/>
      <c r="G341" s="294"/>
      <c r="H341" s="413">
        <f ca="1">SUM(H338:H340)</f>
        <v>0</v>
      </c>
      <c r="I341" s="414">
        <f ca="1">SUM(I338:I340)</f>
        <v>0</v>
      </c>
      <c r="J341" s="414">
        <f t="shared" ref="J341:L341" ca="1" si="109">SUM(J338:J340)</f>
        <v>0</v>
      </c>
      <c r="K341" s="414">
        <f t="shared" ca="1" si="109"/>
        <v>0</v>
      </c>
      <c r="L341" s="414">
        <f t="shared" ca="1" si="109"/>
        <v>0</v>
      </c>
      <c r="M341" s="192"/>
      <c r="N341" s="192"/>
      <c r="O341" s="192"/>
    </row>
    <row r="342" spans="1:15" x14ac:dyDescent="0.2">
      <c r="A342" s="192"/>
      <c r="B342" s="192"/>
      <c r="C342" s="192"/>
      <c r="D342" s="192"/>
      <c r="E342" s="192"/>
      <c r="F342" s="192"/>
      <c r="G342" s="192"/>
      <c r="H342" s="192"/>
      <c r="I342" s="192"/>
      <c r="J342" s="192"/>
      <c r="K342" s="192"/>
      <c r="L342" s="192"/>
      <c r="M342" s="192"/>
      <c r="N342" s="192"/>
      <c r="O342" s="192"/>
    </row>
    <row r="343" spans="1:15" x14ac:dyDescent="0.2">
      <c r="A343" s="192"/>
      <c r="B343" s="200" t="s">
        <v>463</v>
      </c>
      <c r="C343" s="200"/>
      <c r="D343" s="200"/>
      <c r="E343" s="200"/>
      <c r="F343" s="200"/>
      <c r="G343" s="200"/>
      <c r="H343" s="200"/>
      <c r="I343" s="200"/>
      <c r="J343" s="200"/>
      <c r="K343" s="200"/>
      <c r="L343" s="200"/>
      <c r="M343" s="192"/>
      <c r="N343" s="192"/>
      <c r="O343" s="192"/>
    </row>
    <row r="344" spans="1:15" x14ac:dyDescent="0.2">
      <c r="A344" s="192"/>
      <c r="B344" s="192"/>
      <c r="C344" s="192"/>
      <c r="D344" s="192"/>
      <c r="E344" s="192"/>
      <c r="F344" s="192"/>
      <c r="G344" s="313">
        <f>YEAR(C21)</f>
        <v>2022</v>
      </c>
      <c r="H344" s="279">
        <f>G344+1</f>
        <v>2023</v>
      </c>
      <c r="I344" s="279">
        <f>H344+1</f>
        <v>2024</v>
      </c>
      <c r="J344" s="279">
        <f>I344+1</f>
        <v>2025</v>
      </c>
      <c r="K344" s="279">
        <f>J344+1</f>
        <v>2026</v>
      </c>
      <c r="L344" s="279">
        <f>K344+1</f>
        <v>2027</v>
      </c>
      <c r="M344" s="192"/>
      <c r="N344" s="192"/>
      <c r="O344" s="192"/>
    </row>
    <row r="345" spans="1:15" x14ac:dyDescent="0.2">
      <c r="A345" s="192"/>
      <c r="B345" s="192"/>
      <c r="C345" s="192"/>
      <c r="D345" s="192"/>
      <c r="E345" s="192"/>
      <c r="F345" s="192"/>
      <c r="G345" s="432"/>
      <c r="H345" s="433"/>
      <c r="I345" s="433"/>
      <c r="J345" s="433"/>
      <c r="K345" s="433"/>
      <c r="L345" s="433"/>
      <c r="M345" s="192"/>
      <c r="N345" s="192"/>
      <c r="O345" s="192"/>
    </row>
    <row r="346" spans="1:15" x14ac:dyDescent="0.2">
      <c r="A346" s="192"/>
      <c r="B346" s="192"/>
      <c r="C346" s="192"/>
      <c r="D346" s="192"/>
      <c r="E346" s="192"/>
      <c r="F346" s="192"/>
      <c r="G346" s="294"/>
      <c r="H346" s="433"/>
      <c r="I346" s="433"/>
      <c r="J346" s="433"/>
      <c r="K346" s="433"/>
      <c r="L346" s="433"/>
      <c r="M346" s="192"/>
      <c r="N346" s="192"/>
      <c r="O346" s="192"/>
    </row>
    <row r="347" spans="1:15" x14ac:dyDescent="0.2">
      <c r="A347" s="192"/>
      <c r="B347" s="254" t="s">
        <v>464</v>
      </c>
      <c r="C347" s="192"/>
      <c r="D347" s="192"/>
      <c r="E347" s="192"/>
      <c r="F347" s="192"/>
      <c r="G347" s="432"/>
      <c r="H347" s="433"/>
      <c r="I347" s="433"/>
      <c r="J347" s="433"/>
      <c r="K347" s="433"/>
      <c r="L347" s="433"/>
      <c r="M347" s="192"/>
      <c r="N347" s="192"/>
      <c r="O347" s="192"/>
    </row>
    <row r="348" spans="1:15" x14ac:dyDescent="0.2">
      <c r="A348" s="192"/>
      <c r="B348" s="192" t="s">
        <v>241</v>
      </c>
      <c r="C348" s="192"/>
      <c r="D348" s="192"/>
      <c r="E348" s="192"/>
      <c r="F348" s="192"/>
      <c r="G348" s="434">
        <f ca="1">I45</f>
        <v>111687.97727272726</v>
      </c>
      <c r="H348" s="435"/>
      <c r="I348" s="435"/>
      <c r="J348" s="435"/>
      <c r="K348" s="435"/>
      <c r="L348" s="435"/>
      <c r="M348" s="192"/>
      <c r="N348" s="192"/>
      <c r="O348" s="192"/>
    </row>
    <row r="349" spans="1:15" x14ac:dyDescent="0.2">
      <c r="A349" s="192"/>
      <c r="B349" s="192" t="s">
        <v>465</v>
      </c>
      <c r="C349" s="192"/>
      <c r="D349" s="192"/>
      <c r="E349" s="192"/>
      <c r="F349" s="192"/>
      <c r="G349" s="436">
        <f>C8</f>
        <v>485.09</v>
      </c>
      <c r="H349" s="435"/>
      <c r="I349" s="435"/>
      <c r="J349" s="435"/>
      <c r="K349" s="435"/>
      <c r="L349" s="435"/>
      <c r="M349" s="192"/>
      <c r="N349" s="192"/>
      <c r="O349" s="192"/>
    </row>
    <row r="350" spans="1:15" x14ac:dyDescent="0.2">
      <c r="A350" s="192"/>
      <c r="B350" s="192"/>
      <c r="C350" s="192"/>
      <c r="D350" s="192"/>
      <c r="E350" s="192"/>
      <c r="F350" s="192"/>
      <c r="G350" s="436"/>
      <c r="H350" s="435"/>
      <c r="I350" s="435"/>
      <c r="J350" s="435"/>
      <c r="K350" s="435"/>
      <c r="L350" s="435"/>
      <c r="M350" s="192"/>
      <c r="N350" s="192"/>
      <c r="O350" s="192"/>
    </row>
    <row r="351" spans="1:15" x14ac:dyDescent="0.2">
      <c r="A351" s="192"/>
      <c r="B351" s="192" t="s">
        <v>334</v>
      </c>
      <c r="C351" s="192"/>
      <c r="D351" s="192"/>
      <c r="E351" s="192"/>
      <c r="F351" s="192"/>
      <c r="G351" s="434">
        <f ca="1">G348/G349</f>
        <v>230.24176394633423</v>
      </c>
      <c r="H351" s="435"/>
      <c r="I351" s="435"/>
      <c r="J351" s="435"/>
      <c r="K351" s="435"/>
      <c r="L351" s="435"/>
      <c r="M351" s="192"/>
      <c r="N351" s="192"/>
      <c r="O351" s="192"/>
    </row>
    <row r="352" spans="1:15" x14ac:dyDescent="0.2">
      <c r="A352" s="192"/>
      <c r="B352" s="317" t="s">
        <v>466</v>
      </c>
      <c r="C352" s="317"/>
      <c r="D352" s="317"/>
      <c r="E352" s="317"/>
      <c r="F352" s="317"/>
      <c r="G352" s="437">
        <f>NVDA!E222</f>
        <v>2507</v>
      </c>
      <c r="H352" s="435"/>
      <c r="I352" s="435"/>
      <c r="J352" s="435"/>
      <c r="K352" s="435"/>
      <c r="L352" s="435"/>
      <c r="M352" s="192"/>
      <c r="N352" s="192"/>
      <c r="O352" s="192"/>
    </row>
    <row r="353" spans="1:15" x14ac:dyDescent="0.2">
      <c r="A353" s="192"/>
      <c r="B353" s="192" t="s">
        <v>467</v>
      </c>
      <c r="C353" s="192"/>
      <c r="D353" s="192"/>
      <c r="E353" s="192"/>
      <c r="F353" s="192"/>
      <c r="G353" s="434">
        <f ca="1">SUM(G351:G352)</f>
        <v>2737.2417639463342</v>
      </c>
      <c r="H353" s="435"/>
      <c r="I353" s="435"/>
      <c r="J353" s="435"/>
      <c r="K353" s="435"/>
      <c r="L353" s="435"/>
      <c r="M353" s="192"/>
      <c r="N353" s="192"/>
      <c r="O353" s="192"/>
    </row>
    <row r="354" spans="1:15" x14ac:dyDescent="0.2">
      <c r="A354" s="192"/>
      <c r="B354" s="192"/>
      <c r="C354" s="192"/>
      <c r="D354" s="192"/>
      <c r="E354" s="192"/>
      <c r="F354" s="192"/>
      <c r="G354" s="434"/>
      <c r="H354" s="435"/>
      <c r="I354" s="435"/>
      <c r="J354" s="435"/>
      <c r="K354" s="435"/>
      <c r="L354" s="435"/>
      <c r="M354" s="192"/>
      <c r="N354" s="192"/>
      <c r="O354" s="192"/>
    </row>
    <row r="355" spans="1:15" x14ac:dyDescent="0.2">
      <c r="A355" s="192"/>
      <c r="B355" s="192" t="s">
        <v>150</v>
      </c>
      <c r="C355" s="192"/>
      <c r="D355" s="192"/>
      <c r="E355" s="192"/>
      <c r="F355" s="192"/>
      <c r="G355" s="434"/>
      <c r="H355" s="289">
        <f ca="1">G359</f>
        <v>2737.2417639463342</v>
      </c>
      <c r="I355" s="289">
        <f t="shared" ref="I355:L355" ca="1" si="110">H359</f>
        <v>2737.2417639463342</v>
      </c>
      <c r="J355" s="289">
        <f t="shared" ca="1" si="110"/>
        <v>2737.2417639463342</v>
      </c>
      <c r="K355" s="289">
        <f t="shared" ca="1" si="110"/>
        <v>2737.2417639463342</v>
      </c>
      <c r="L355" s="289">
        <f t="shared" ca="1" si="110"/>
        <v>2737.2417639463342</v>
      </c>
      <c r="M355" s="192"/>
      <c r="N355" s="192"/>
      <c r="O355" s="192"/>
    </row>
    <row r="356" spans="1:15" x14ac:dyDescent="0.2">
      <c r="A356" s="192"/>
      <c r="B356" s="192" t="s">
        <v>151</v>
      </c>
      <c r="C356" s="192"/>
      <c r="D356" s="192"/>
      <c r="E356" s="192"/>
      <c r="F356" s="192"/>
      <c r="G356" s="434"/>
      <c r="H356" s="431">
        <v>0</v>
      </c>
      <c r="I356" s="289">
        <f>H356</f>
        <v>0</v>
      </c>
      <c r="J356" s="289">
        <f t="shared" ref="J356:L357" si="111">I356</f>
        <v>0</v>
      </c>
      <c r="K356" s="289">
        <f t="shared" si="111"/>
        <v>0</v>
      </c>
      <c r="L356" s="289">
        <f t="shared" si="111"/>
        <v>0</v>
      </c>
      <c r="M356" s="192"/>
      <c r="N356" s="192"/>
      <c r="O356" s="192"/>
    </row>
    <row r="357" spans="1:15" x14ac:dyDescent="0.2">
      <c r="A357" s="192"/>
      <c r="B357" s="192" t="s">
        <v>152</v>
      </c>
      <c r="C357" s="192"/>
      <c r="D357" s="192"/>
      <c r="E357" s="192"/>
      <c r="F357" s="192"/>
      <c r="G357" s="434"/>
      <c r="H357" s="304">
        <v>0</v>
      </c>
      <c r="I357" s="289">
        <f>H357</f>
        <v>0</v>
      </c>
      <c r="J357" s="289">
        <f t="shared" si="111"/>
        <v>0</v>
      </c>
      <c r="K357" s="289">
        <f t="shared" si="111"/>
        <v>0</v>
      </c>
      <c r="L357" s="289">
        <f t="shared" si="111"/>
        <v>0</v>
      </c>
      <c r="M357" s="192"/>
      <c r="N357" s="192"/>
      <c r="O357" s="192"/>
    </row>
    <row r="358" spans="1:15" x14ac:dyDescent="0.2">
      <c r="A358" s="192"/>
      <c r="B358" s="317" t="s">
        <v>108</v>
      </c>
      <c r="C358" s="317"/>
      <c r="D358" s="317"/>
      <c r="E358" s="317"/>
      <c r="F358" s="317"/>
      <c r="G358" s="438"/>
      <c r="H358" s="360">
        <f ca="1">-H366</f>
        <v>0</v>
      </c>
      <c r="I358" s="360">
        <f t="shared" ref="I358:L358" ca="1" si="112">-I366</f>
        <v>0</v>
      </c>
      <c r="J358" s="360">
        <f t="shared" ca="1" si="112"/>
        <v>0</v>
      </c>
      <c r="K358" s="360">
        <f t="shared" ca="1" si="112"/>
        <v>0</v>
      </c>
      <c r="L358" s="360">
        <f t="shared" ca="1" si="112"/>
        <v>0</v>
      </c>
      <c r="M358" s="192"/>
      <c r="N358" s="192"/>
      <c r="O358" s="192"/>
    </row>
    <row r="359" spans="1:15" x14ac:dyDescent="0.2">
      <c r="A359" s="192"/>
      <c r="B359" s="192" t="s">
        <v>153</v>
      </c>
      <c r="C359" s="192"/>
      <c r="D359" s="192"/>
      <c r="E359" s="192"/>
      <c r="F359" s="192"/>
      <c r="G359" s="434">
        <f ca="1">G361-G360</f>
        <v>2737.2417639463342</v>
      </c>
      <c r="H359" s="289">
        <f ca="1">SUM(H355:H358)</f>
        <v>2737.2417639463342</v>
      </c>
      <c r="I359" s="289">
        <f ca="1">SUM(I355:I358)</f>
        <v>2737.2417639463342</v>
      </c>
      <c r="J359" s="289">
        <f t="shared" ref="J359:L359" ca="1" si="113">SUM(J355:J358)</f>
        <v>2737.2417639463342</v>
      </c>
      <c r="K359" s="289">
        <f t="shared" ca="1" si="113"/>
        <v>2737.2417639463342</v>
      </c>
      <c r="L359" s="289">
        <f t="shared" ca="1" si="113"/>
        <v>2737.2417639463342</v>
      </c>
      <c r="M359" s="192"/>
      <c r="N359" s="192"/>
      <c r="O359" s="192"/>
    </row>
    <row r="360" spans="1:15" x14ac:dyDescent="0.2">
      <c r="A360" s="192"/>
      <c r="B360" s="317" t="s">
        <v>468</v>
      </c>
      <c r="C360" s="317"/>
      <c r="D360" s="317"/>
      <c r="E360" s="317"/>
      <c r="F360" s="317"/>
      <c r="G360" s="437">
        <v>0</v>
      </c>
      <c r="H360" s="360">
        <f>G360</f>
        <v>0</v>
      </c>
      <c r="I360" s="360">
        <f>H360</f>
        <v>0</v>
      </c>
      <c r="J360" s="360">
        <f t="shared" ref="J360:L360" si="114">I360</f>
        <v>0</v>
      </c>
      <c r="K360" s="360">
        <f t="shared" si="114"/>
        <v>0</v>
      </c>
      <c r="L360" s="360">
        <f t="shared" si="114"/>
        <v>0</v>
      </c>
      <c r="M360" s="192"/>
      <c r="N360" s="192"/>
      <c r="O360" s="192"/>
    </row>
    <row r="361" spans="1:15" x14ac:dyDescent="0.2">
      <c r="A361" s="192"/>
      <c r="B361" s="192" t="s">
        <v>155</v>
      </c>
      <c r="C361" s="192"/>
      <c r="D361" s="192"/>
      <c r="E361" s="192"/>
      <c r="F361" s="192"/>
      <c r="G361" s="434">
        <f ca="1">G353</f>
        <v>2737.2417639463342</v>
      </c>
      <c r="H361" s="289">
        <f ca="1">SUM(H359:H360)</f>
        <v>2737.2417639463342</v>
      </c>
      <c r="I361" s="289">
        <f ca="1">SUM(I359:I360)</f>
        <v>2737.2417639463342</v>
      </c>
      <c r="J361" s="289">
        <f t="shared" ref="J361:L361" ca="1" si="115">SUM(J359:J360)</f>
        <v>2737.2417639463342</v>
      </c>
      <c r="K361" s="289">
        <f t="shared" ca="1" si="115"/>
        <v>2737.2417639463342</v>
      </c>
      <c r="L361" s="289">
        <f t="shared" ca="1" si="115"/>
        <v>2737.2417639463342</v>
      </c>
      <c r="M361" s="192"/>
      <c r="N361" s="192"/>
      <c r="O361" s="192"/>
    </row>
    <row r="362" spans="1:15" x14ac:dyDescent="0.2">
      <c r="A362" s="192"/>
      <c r="B362" s="192"/>
      <c r="C362" s="192"/>
      <c r="D362" s="192"/>
      <c r="E362" s="192"/>
      <c r="F362" s="192"/>
      <c r="G362" s="321"/>
      <c r="H362" s="260"/>
      <c r="I362" s="260"/>
      <c r="J362" s="260"/>
      <c r="K362" s="260"/>
      <c r="L362" s="260"/>
      <c r="M362" s="192"/>
      <c r="N362" s="192"/>
      <c r="O362" s="192"/>
    </row>
    <row r="363" spans="1:15" x14ac:dyDescent="0.2">
      <c r="A363" s="192"/>
      <c r="B363" s="254" t="s">
        <v>156</v>
      </c>
      <c r="C363" s="192"/>
      <c r="D363" s="192"/>
      <c r="E363" s="192"/>
      <c r="F363" s="192"/>
      <c r="G363" s="321"/>
      <c r="H363" s="260"/>
      <c r="I363" s="260"/>
      <c r="J363" s="260"/>
      <c r="K363" s="260"/>
      <c r="L363" s="260"/>
      <c r="M363" s="192"/>
      <c r="N363" s="192"/>
      <c r="O363" s="192"/>
    </row>
    <row r="364" spans="1:15" x14ac:dyDescent="0.2">
      <c r="A364" s="192"/>
      <c r="B364" s="192" t="s">
        <v>157</v>
      </c>
      <c r="C364" s="192"/>
      <c r="D364" s="192"/>
      <c r="E364" s="192"/>
      <c r="F364" s="192"/>
      <c r="G364" s="321"/>
      <c r="H364" s="439">
        <f>NVDA!E225</f>
        <v>80</v>
      </c>
      <c r="I364" s="440">
        <f>H364</f>
        <v>80</v>
      </c>
      <c r="J364" s="440">
        <f t="shared" ref="J364:L364" si="116">I364</f>
        <v>80</v>
      </c>
      <c r="K364" s="440">
        <f t="shared" si="116"/>
        <v>80</v>
      </c>
      <c r="L364" s="440">
        <f t="shared" si="116"/>
        <v>80</v>
      </c>
      <c r="M364" s="192"/>
      <c r="N364" s="192"/>
      <c r="O364" s="192"/>
    </row>
    <row r="365" spans="1:15" x14ac:dyDescent="0.2">
      <c r="A365" s="192"/>
      <c r="B365" s="317" t="s">
        <v>158</v>
      </c>
      <c r="C365" s="317"/>
      <c r="D365" s="317"/>
      <c r="E365" s="317"/>
      <c r="F365" s="317"/>
      <c r="G365" s="323"/>
      <c r="H365" s="441">
        <f ca="1">H364*H371</f>
        <v>72.603568353809507</v>
      </c>
      <c r="I365" s="441">
        <f t="shared" ref="I365:L365" ca="1" si="117">I364*I371</f>
        <v>417.9526211485188</v>
      </c>
      <c r="J365" s="441">
        <f t="shared" ca="1" si="117"/>
        <v>797.45522870457398</v>
      </c>
      <c r="K365" s="441">
        <f t="shared" ca="1" si="117"/>
        <v>1301.2206163102519</v>
      </c>
      <c r="L365" s="441">
        <f t="shared" ca="1" si="117"/>
        <v>1936.8101564460048</v>
      </c>
      <c r="M365" s="192"/>
      <c r="N365" s="192"/>
      <c r="O365" s="192"/>
    </row>
    <row r="366" spans="1:15" x14ac:dyDescent="0.2">
      <c r="A366" s="192"/>
      <c r="B366" s="192" t="s">
        <v>159</v>
      </c>
      <c r="C366" s="192"/>
      <c r="D366" s="192"/>
      <c r="E366" s="192"/>
      <c r="F366" s="192"/>
      <c r="G366" s="316"/>
      <c r="H366" s="289">
        <f ca="1">-H212/H365</f>
        <v>0</v>
      </c>
      <c r="I366" s="289">
        <f t="shared" ref="I366:L366" ca="1" si="118">-I212/I365</f>
        <v>0</v>
      </c>
      <c r="J366" s="289">
        <f t="shared" ca="1" si="118"/>
        <v>0</v>
      </c>
      <c r="K366" s="289">
        <f t="shared" ca="1" si="118"/>
        <v>0</v>
      </c>
      <c r="L366" s="289">
        <f t="shared" ca="1" si="118"/>
        <v>0</v>
      </c>
      <c r="M366" s="192"/>
      <c r="N366" s="192"/>
      <c r="O366" s="192"/>
    </row>
    <row r="367" spans="1:15" x14ac:dyDescent="0.2">
      <c r="A367" s="192"/>
      <c r="B367" s="192"/>
      <c r="C367" s="192"/>
      <c r="D367" s="192"/>
      <c r="E367" s="192"/>
      <c r="F367" s="192"/>
      <c r="G367" s="294"/>
      <c r="H367" s="192"/>
      <c r="I367" s="192"/>
      <c r="J367" s="192"/>
      <c r="K367" s="192"/>
      <c r="L367" s="192"/>
      <c r="M367" s="192"/>
      <c r="N367" s="192"/>
      <c r="O367" s="192"/>
    </row>
    <row r="368" spans="1:15" x14ac:dyDescent="0.2">
      <c r="A368" s="192"/>
      <c r="B368" s="254" t="s">
        <v>469</v>
      </c>
      <c r="C368" s="192"/>
      <c r="D368" s="192"/>
      <c r="E368" s="192"/>
      <c r="F368" s="192"/>
      <c r="G368" s="294"/>
      <c r="H368" s="192"/>
      <c r="I368" s="192"/>
      <c r="J368" s="192"/>
      <c r="K368" s="192"/>
      <c r="L368" s="192"/>
      <c r="M368" s="192"/>
      <c r="N368" s="192"/>
      <c r="O368" s="192"/>
    </row>
    <row r="369" spans="1:15" x14ac:dyDescent="0.2">
      <c r="A369" s="192"/>
      <c r="B369" s="192" t="s">
        <v>35</v>
      </c>
      <c r="C369" s="192"/>
      <c r="D369" s="192"/>
      <c r="E369" s="192"/>
      <c r="F369" s="192"/>
      <c r="G369" s="294"/>
      <c r="H369" s="442">
        <f ca="1">H161</f>
        <v>2484.1689938697473</v>
      </c>
      <c r="I369" s="442">
        <f t="shared" ref="I369:L369" ca="1" si="119">I161</f>
        <v>14300.467124482069</v>
      </c>
      <c r="J369" s="442">
        <f t="shared" ca="1" si="119"/>
        <v>27285.346961103576</v>
      </c>
      <c r="K369" s="442">
        <f t="shared" ca="1" si="119"/>
        <v>44521.942689529315</v>
      </c>
      <c r="L369" s="442">
        <f t="shared" ca="1" si="119"/>
        <v>66268.97058667129</v>
      </c>
      <c r="M369" s="192"/>
      <c r="N369" s="192"/>
      <c r="O369" s="192"/>
    </row>
    <row r="370" spans="1:15" x14ac:dyDescent="0.2">
      <c r="A370" s="192"/>
      <c r="B370" s="317" t="s">
        <v>155</v>
      </c>
      <c r="C370" s="317"/>
      <c r="D370" s="317"/>
      <c r="E370" s="317"/>
      <c r="F370" s="317"/>
      <c r="G370" s="443"/>
      <c r="H370" s="358">
        <f ca="1">H361</f>
        <v>2737.2417639463342</v>
      </c>
      <c r="I370" s="358">
        <f t="shared" ref="I370:L370" ca="1" si="120">I361</f>
        <v>2737.2417639463342</v>
      </c>
      <c r="J370" s="358">
        <f t="shared" ca="1" si="120"/>
        <v>2737.2417639463342</v>
      </c>
      <c r="K370" s="358">
        <f t="shared" ca="1" si="120"/>
        <v>2737.2417639463342</v>
      </c>
      <c r="L370" s="358">
        <f t="shared" ca="1" si="120"/>
        <v>2737.2417639463342</v>
      </c>
      <c r="M370" s="192"/>
      <c r="N370" s="192"/>
      <c r="O370" s="192"/>
    </row>
    <row r="371" spans="1:15" x14ac:dyDescent="0.2">
      <c r="A371" s="192"/>
      <c r="B371" s="216" t="s">
        <v>160</v>
      </c>
      <c r="C371" s="216"/>
      <c r="D371" s="216"/>
      <c r="E371" s="216"/>
      <c r="F371" s="216"/>
      <c r="G371" s="386"/>
      <c r="H371" s="444">
        <f ca="1">H369/H370</f>
        <v>0.90754460442261886</v>
      </c>
      <c r="I371" s="444">
        <f t="shared" ref="I371:L371" ca="1" si="121">I369/I370</f>
        <v>5.224407764356485</v>
      </c>
      <c r="J371" s="444">
        <f t="shared" ca="1" si="121"/>
        <v>9.9681903588106024</v>
      </c>
      <c r="K371" s="444">
        <f t="shared" ca="1" si="121"/>
        <v>16.26525770428885</v>
      </c>
      <c r="L371" s="444">
        <f t="shared" ca="1" si="121"/>
        <v>24.210126945867593</v>
      </c>
      <c r="M371" s="192"/>
      <c r="N371" s="192"/>
      <c r="O371" s="192"/>
    </row>
    <row r="372" spans="1:15" x14ac:dyDescent="0.2">
      <c r="A372" s="192"/>
      <c r="B372" s="192"/>
      <c r="C372" s="192"/>
      <c r="D372" s="192"/>
      <c r="E372" s="192"/>
      <c r="F372" s="192"/>
      <c r="G372" s="294"/>
      <c r="H372" s="249"/>
      <c r="I372" s="249"/>
      <c r="J372" s="249"/>
      <c r="K372" s="249"/>
      <c r="L372" s="249"/>
      <c r="M372" s="192"/>
      <c r="N372" s="192"/>
      <c r="O372" s="192"/>
    </row>
    <row r="373" spans="1:15" x14ac:dyDescent="0.2">
      <c r="A373" s="192"/>
      <c r="B373" s="254" t="s">
        <v>314</v>
      </c>
      <c r="C373" s="192"/>
      <c r="D373" s="192"/>
      <c r="E373" s="192"/>
      <c r="F373" s="192"/>
      <c r="G373" s="286"/>
      <c r="H373" s="353"/>
      <c r="I373" s="353"/>
      <c r="J373" s="353"/>
      <c r="K373" s="353"/>
      <c r="L373" s="353"/>
      <c r="M373" s="192"/>
      <c r="N373" s="192"/>
      <c r="O373" s="192"/>
    </row>
    <row r="374" spans="1:15" x14ac:dyDescent="0.2">
      <c r="A374" s="192"/>
      <c r="B374" s="192" t="s">
        <v>118</v>
      </c>
      <c r="C374" s="192"/>
      <c r="D374" s="192"/>
      <c r="E374" s="192"/>
      <c r="F374" s="192"/>
      <c r="G374" s="316">
        <f>NVDA!E39</f>
        <v>4368</v>
      </c>
      <c r="H374" s="223">
        <f ca="1">NVDA!F39</f>
        <v>7941.2390510462756</v>
      </c>
      <c r="I374" s="223">
        <f ca="1">NVDA!G39</f>
        <v>10477.458327549519</v>
      </c>
      <c r="J374" s="223">
        <f ca="1">NVDA!H39</f>
        <v>13824.853165595321</v>
      </c>
      <c r="K374" s="223">
        <f ca="1">NVDA!I39</f>
        <v>18236.707106834721</v>
      </c>
      <c r="L374" s="223">
        <f ca="1">NVDA!J39</f>
        <v>24041.3282175817</v>
      </c>
      <c r="M374" s="192"/>
      <c r="N374" s="192"/>
      <c r="O374" s="192"/>
    </row>
    <row r="375" spans="1:15" x14ac:dyDescent="0.2">
      <c r="A375" s="192"/>
      <c r="B375" s="192" t="s">
        <v>187</v>
      </c>
      <c r="C375" s="192"/>
      <c r="D375" s="192"/>
      <c r="E375" s="192"/>
      <c r="F375" s="192"/>
      <c r="G375" s="583">
        <f>NVDA!E42</f>
        <v>1.7423214998005585</v>
      </c>
      <c r="H375" s="584">
        <f ca="1">NVDA!F42</f>
        <v>3.1796320658440189</v>
      </c>
      <c r="I375" s="584">
        <f ca="1">NVDA!G42</f>
        <v>4.194976610968955</v>
      </c>
      <c r="J375" s="584">
        <f ca="1">NVDA!H42</f>
        <v>5.5191601405955044</v>
      </c>
      <c r="K375" s="584">
        <f ca="1">NVDA!I42</f>
        <v>7.2438021757852757</v>
      </c>
      <c r="L375" s="584">
        <f ca="1">NVDA!J42</f>
        <v>9.4862594252036629</v>
      </c>
      <c r="M375" s="192"/>
      <c r="N375" s="192"/>
      <c r="O375" s="192"/>
    </row>
    <row r="376" spans="1:15" x14ac:dyDescent="0.2">
      <c r="A376" s="192"/>
      <c r="B376" s="192" t="s">
        <v>315</v>
      </c>
      <c r="C376" s="192"/>
      <c r="D376" s="192"/>
      <c r="E376" s="192"/>
      <c r="F376" s="192"/>
      <c r="G376" s="286">
        <f>G374/G375</f>
        <v>2507</v>
      </c>
      <c r="H376" s="353">
        <f t="shared" ref="H376:K376" ca="1" si="122">H374/H375</f>
        <v>2497.5339556900303</v>
      </c>
      <c r="I376" s="353">
        <f t="shared" ca="1" si="122"/>
        <v>2497.620201302967</v>
      </c>
      <c r="J376" s="353">
        <f t="shared" ca="1" si="122"/>
        <v>2504.8834991955227</v>
      </c>
      <c r="K376" s="353">
        <f t="shared" ca="1" si="122"/>
        <v>2517.560069185316</v>
      </c>
      <c r="L376" s="353">
        <f ca="1">L374/L375</f>
        <v>2534.3317254962749</v>
      </c>
      <c r="M376" s="192"/>
      <c r="N376" s="192"/>
      <c r="O376" s="192"/>
    </row>
    <row r="377" spans="1:15" x14ac:dyDescent="0.2">
      <c r="A377" s="192"/>
      <c r="B377" s="192"/>
      <c r="C377" s="192"/>
      <c r="D377" s="192"/>
      <c r="E377" s="192"/>
      <c r="F377" s="192"/>
      <c r="G377" s="286"/>
      <c r="H377" s="353"/>
      <c r="I377" s="353"/>
      <c r="J377" s="353"/>
      <c r="K377" s="353"/>
      <c r="L377" s="353"/>
      <c r="M377" s="192"/>
      <c r="N377" s="192"/>
      <c r="O377" s="192"/>
    </row>
    <row r="378" spans="1:15" x14ac:dyDescent="0.2">
      <c r="A378" s="192"/>
      <c r="B378" s="192" t="s">
        <v>337</v>
      </c>
      <c r="C378" s="192"/>
      <c r="D378" s="192"/>
      <c r="E378" s="192"/>
      <c r="F378" s="192"/>
      <c r="G378" s="286"/>
      <c r="H378" s="446">
        <f t="shared" ref="H378:K378" ca="1" si="123">H371</f>
        <v>0.90754460442261886</v>
      </c>
      <c r="I378" s="446">
        <f t="shared" ca="1" si="123"/>
        <v>5.224407764356485</v>
      </c>
      <c r="J378" s="446">
        <f t="shared" ca="1" si="123"/>
        <v>9.9681903588106024</v>
      </c>
      <c r="K378" s="446">
        <f t="shared" ca="1" si="123"/>
        <v>16.26525770428885</v>
      </c>
      <c r="L378" s="446">
        <f ca="1">L371</f>
        <v>24.210126945867593</v>
      </c>
      <c r="M378" s="192"/>
      <c r="N378" s="192"/>
      <c r="O378" s="192"/>
    </row>
    <row r="379" spans="1:15" x14ac:dyDescent="0.2">
      <c r="A379" s="192"/>
      <c r="B379" s="192" t="s">
        <v>338</v>
      </c>
      <c r="C379" s="192"/>
      <c r="D379" s="192"/>
      <c r="E379" s="192"/>
      <c r="F379" s="192"/>
      <c r="G379" s="286"/>
      <c r="H379" s="446">
        <f t="shared" ref="H379:K379" ca="1" si="124">H375</f>
        <v>3.1796320658440189</v>
      </c>
      <c r="I379" s="446">
        <f t="shared" ca="1" si="124"/>
        <v>4.194976610968955</v>
      </c>
      <c r="J379" s="446">
        <f t="shared" ca="1" si="124"/>
        <v>5.5191601405955044</v>
      </c>
      <c r="K379" s="446">
        <f t="shared" ca="1" si="124"/>
        <v>7.2438021757852757</v>
      </c>
      <c r="L379" s="446">
        <f ca="1">L375</f>
        <v>9.4862594252036629</v>
      </c>
      <c r="M379" s="192"/>
      <c r="N379" s="192"/>
      <c r="O379" s="192"/>
    </row>
    <row r="380" spans="1:15" x14ac:dyDescent="0.2">
      <c r="A380" s="192"/>
      <c r="B380" s="216" t="s">
        <v>339</v>
      </c>
      <c r="C380" s="192"/>
      <c r="D380" s="192"/>
      <c r="E380" s="192"/>
      <c r="F380" s="192"/>
      <c r="G380" s="286"/>
      <c r="H380" s="444">
        <f t="shared" ref="H380:K380" ca="1" si="125">H378-H379</f>
        <v>-2.2720874614214002</v>
      </c>
      <c r="I380" s="444">
        <f t="shared" ca="1" si="125"/>
        <v>1.02943115338753</v>
      </c>
      <c r="J380" s="444">
        <f t="shared" ca="1" si="125"/>
        <v>4.449030218215098</v>
      </c>
      <c r="K380" s="444">
        <f t="shared" ca="1" si="125"/>
        <v>9.0214555285035729</v>
      </c>
      <c r="L380" s="444">
        <f ca="1">L378-L379</f>
        <v>14.72386752066393</v>
      </c>
      <c r="M380" s="192"/>
      <c r="N380" s="192"/>
      <c r="O380" s="192"/>
    </row>
    <row r="381" spans="1:15" x14ac:dyDescent="0.2">
      <c r="A381" s="192"/>
      <c r="B381" s="216" t="s">
        <v>340</v>
      </c>
      <c r="C381" s="192"/>
      <c r="D381" s="192"/>
      <c r="E381" s="192"/>
      <c r="F381" s="192"/>
      <c r="G381" s="294"/>
      <c r="H381" s="447">
        <f t="shared" ref="H381:K381" ca="1" si="126">H380/H379</f>
        <v>-0.71457559062522691</v>
      </c>
      <c r="I381" s="447">
        <f t="shared" ca="1" si="126"/>
        <v>0.2453961604209641</v>
      </c>
      <c r="J381" s="447">
        <f t="shared" ca="1" si="126"/>
        <v>0.80610638301483639</v>
      </c>
      <c r="K381" s="447">
        <f t="shared" ca="1" si="126"/>
        <v>1.2454033544235472</v>
      </c>
      <c r="L381" s="447">
        <f ca="1">L380/L379</f>
        <v>1.5521257495388199</v>
      </c>
      <c r="M381" s="192"/>
      <c r="N381" s="192"/>
      <c r="O381" s="192"/>
    </row>
    <row r="382" spans="1:15" x14ac:dyDescent="0.2">
      <c r="A382" s="228" t="s">
        <v>183</v>
      </c>
      <c r="B382" s="192" t="s">
        <v>341</v>
      </c>
      <c r="C382" s="192"/>
      <c r="D382" s="192"/>
      <c r="E382" s="192"/>
      <c r="F382" s="192"/>
      <c r="G382" s="294"/>
      <c r="H382" s="448">
        <f t="shared" ref="H382:K382" ca="1" si="127">(-H376*H380)/(1-$F$302)</f>
        <v>7881.4105349965403</v>
      </c>
      <c r="I382" s="448">
        <f t="shared" ca="1" si="127"/>
        <v>-3571.0111729879277</v>
      </c>
      <c r="J382" s="448">
        <f t="shared" ca="1" si="127"/>
        <v>-15478.197751429521</v>
      </c>
      <c r="K382" s="448">
        <f t="shared" ca="1" si="127"/>
        <v>-31544.522506238482</v>
      </c>
      <c r="L382" s="446">
        <f ca="1">(-L376*L380)/(1-$F$302)</f>
        <v>-51826.617471698301</v>
      </c>
      <c r="M382" s="192"/>
      <c r="N382" s="192"/>
      <c r="O382" s="192"/>
    </row>
    <row r="383" spans="1:15" x14ac:dyDescent="0.2">
      <c r="A383" s="192"/>
      <c r="B383" s="192"/>
      <c r="C383" s="192"/>
      <c r="D383" s="192"/>
      <c r="E383" s="192"/>
      <c r="F383" s="192"/>
      <c r="G383" s="192"/>
      <c r="H383" s="192"/>
      <c r="I383" s="192"/>
      <c r="J383" s="192"/>
      <c r="K383" s="192"/>
      <c r="L383" s="192"/>
      <c r="M383" s="192"/>
      <c r="N383" s="192"/>
      <c r="O383" s="192"/>
    </row>
    <row r="384" spans="1:15" x14ac:dyDescent="0.2">
      <c r="A384" s="192"/>
      <c r="B384" s="192"/>
      <c r="C384" s="192"/>
      <c r="D384" s="192"/>
      <c r="E384" s="192"/>
      <c r="F384" s="192"/>
      <c r="G384" s="192"/>
      <c r="H384" s="192"/>
      <c r="I384" s="192"/>
      <c r="J384" s="192"/>
      <c r="K384" s="192"/>
      <c r="L384" s="192"/>
      <c r="M384" s="192"/>
      <c r="N384" s="192"/>
      <c r="O384" s="192"/>
    </row>
    <row r="385" spans="1:15" x14ac:dyDescent="0.2">
      <c r="A385" s="199"/>
      <c r="B385" s="200" t="s">
        <v>470</v>
      </c>
      <c r="C385" s="200"/>
      <c r="D385" s="200"/>
      <c r="E385" s="200"/>
      <c r="F385" s="200"/>
      <c r="G385" s="200"/>
      <c r="H385" s="200"/>
      <c r="I385" s="200"/>
      <c r="J385" s="200"/>
      <c r="K385" s="200"/>
      <c r="L385" s="200"/>
      <c r="M385" s="192"/>
      <c r="N385" s="192"/>
      <c r="O385" s="192"/>
    </row>
    <row r="386" spans="1:15" x14ac:dyDescent="0.2">
      <c r="A386" s="192"/>
      <c r="B386" s="192"/>
      <c r="C386" s="192"/>
      <c r="D386" s="192"/>
      <c r="E386" s="192"/>
      <c r="F386" s="192"/>
      <c r="G386" s="192"/>
      <c r="H386" s="192"/>
      <c r="I386" s="192"/>
      <c r="J386" s="192"/>
      <c r="K386" s="192"/>
      <c r="L386" s="192"/>
      <c r="M386" s="192"/>
      <c r="N386" s="192"/>
      <c r="O386" s="192"/>
    </row>
    <row r="387" spans="1:15" x14ac:dyDescent="0.2">
      <c r="A387" s="192"/>
      <c r="B387" s="192"/>
      <c r="C387" s="192"/>
      <c r="D387" s="449" t="s">
        <v>471</v>
      </c>
      <c r="E387" s="192"/>
      <c r="F387" s="192"/>
      <c r="G387" s="192"/>
      <c r="H387" s="192"/>
      <c r="I387" s="192"/>
      <c r="J387" s="192"/>
      <c r="K387" s="192"/>
      <c r="L387" s="192"/>
      <c r="M387" s="192"/>
      <c r="N387" s="192"/>
      <c r="O387" s="192"/>
    </row>
    <row r="388" spans="1:15" x14ac:dyDescent="0.2">
      <c r="A388" s="192"/>
      <c r="B388" s="192"/>
      <c r="C388" s="192"/>
      <c r="D388" s="192"/>
      <c r="E388" s="192"/>
      <c r="F388" s="192"/>
      <c r="G388" s="192"/>
      <c r="H388" s="192"/>
      <c r="I388" s="192"/>
      <c r="J388" s="192"/>
      <c r="K388" s="192"/>
      <c r="L388" s="192"/>
      <c r="M388" s="192"/>
      <c r="N388" s="192"/>
      <c r="O388" s="192"/>
    </row>
    <row r="389" spans="1:15" x14ac:dyDescent="0.2">
      <c r="A389" s="192"/>
      <c r="B389" s="192"/>
      <c r="C389" s="192"/>
      <c r="D389" s="249"/>
      <c r="E389" s="249"/>
      <c r="F389" s="450" t="s">
        <v>472</v>
      </c>
      <c r="G389" s="451"/>
      <c r="H389" s="451"/>
      <c r="I389" s="451"/>
      <c r="J389" s="451"/>
      <c r="K389" s="451"/>
      <c r="L389" s="451"/>
      <c r="M389" s="192"/>
      <c r="N389" s="192"/>
      <c r="O389" s="452"/>
    </row>
    <row r="390" spans="1:15" x14ac:dyDescent="0.2">
      <c r="A390" s="192"/>
      <c r="B390" s="192"/>
      <c r="C390" s="192"/>
      <c r="D390" s="249"/>
      <c r="E390" s="453"/>
      <c r="F390" s="454">
        <f>((F392*$J$28)-$J$30+$J$31)/$G$138</f>
        <v>21.757341647230223</v>
      </c>
      <c r="G390" s="454">
        <f t="shared" ref="G390:L390" si="128">((G392*$J$28)-$J$30+$J$31)/$G$138</f>
        <v>24.043734793837164</v>
      </c>
      <c r="H390" s="454">
        <f t="shared" si="128"/>
        <v>26.330127940444104</v>
      </c>
      <c r="I390" s="454">
        <f t="shared" si="128"/>
        <v>28.616521087051041</v>
      </c>
      <c r="J390" s="454">
        <f t="shared" si="128"/>
        <v>30.902914233657981</v>
      </c>
      <c r="K390" s="454">
        <f t="shared" si="128"/>
        <v>33.189307380264921</v>
      </c>
      <c r="L390" s="454">
        <f t="shared" si="128"/>
        <v>35.475700526871861</v>
      </c>
      <c r="M390" s="192"/>
      <c r="N390" s="455"/>
      <c r="O390" s="455"/>
    </row>
    <row r="391" spans="1:15" x14ac:dyDescent="0.2">
      <c r="A391" s="192"/>
      <c r="B391" s="192"/>
      <c r="C391" s="192"/>
      <c r="D391" s="249"/>
      <c r="E391" s="453"/>
      <c r="F391" s="456" t="s">
        <v>473</v>
      </c>
      <c r="G391" s="457"/>
      <c r="H391" s="457"/>
      <c r="I391" s="457"/>
      <c r="J391" s="457"/>
      <c r="K391" s="457"/>
      <c r="L391" s="457"/>
      <c r="M391" s="192"/>
      <c r="N391" s="192"/>
      <c r="O391" s="192"/>
    </row>
    <row r="392" spans="1:15" x14ac:dyDescent="0.2">
      <c r="A392" s="192"/>
      <c r="B392" s="192"/>
      <c r="C392" s="192"/>
      <c r="D392" s="249"/>
      <c r="E392" s="453"/>
      <c r="F392" s="458">
        <f>$J$25*(1+F394)</f>
        <v>109.45</v>
      </c>
      <c r="G392" s="458">
        <f t="shared" ref="G392:L392" si="129">$J$25*(1+G394)</f>
        <v>120.39500000000001</v>
      </c>
      <c r="H392" s="458">
        <f t="shared" si="129"/>
        <v>131.34</v>
      </c>
      <c r="I392" s="458">
        <f t="shared" si="129"/>
        <v>142.285</v>
      </c>
      <c r="J392" s="458">
        <f t="shared" si="129"/>
        <v>153.22999999999999</v>
      </c>
      <c r="K392" s="458">
        <f t="shared" si="129"/>
        <v>164.17500000000001</v>
      </c>
      <c r="L392" s="458">
        <f t="shared" si="129"/>
        <v>175.12</v>
      </c>
      <c r="M392" s="192"/>
      <c r="N392" s="192"/>
      <c r="O392" s="192"/>
    </row>
    <row r="393" spans="1:15" x14ac:dyDescent="0.2">
      <c r="A393" s="192"/>
      <c r="B393" s="192"/>
      <c r="C393" s="192"/>
      <c r="D393" s="249"/>
      <c r="E393" s="453"/>
      <c r="F393" s="456" t="s">
        <v>474</v>
      </c>
      <c r="G393" s="457"/>
      <c r="H393" s="457"/>
      <c r="I393" s="457"/>
      <c r="J393" s="457"/>
      <c r="K393" s="457"/>
      <c r="L393" s="457"/>
      <c r="M393" s="192"/>
      <c r="N393" s="192"/>
      <c r="O393" s="192"/>
    </row>
    <row r="394" spans="1:15" x14ac:dyDescent="0.2">
      <c r="A394" s="192"/>
      <c r="B394" s="192"/>
      <c r="C394" s="192"/>
      <c r="D394" s="249"/>
      <c r="E394" s="459">
        <f ca="1">J381</f>
        <v>0.80610638301483639</v>
      </c>
      <c r="F394" s="460">
        <v>0</v>
      </c>
      <c r="G394" s="461">
        <f>F394+0.1</f>
        <v>0.1</v>
      </c>
      <c r="H394" s="461">
        <f t="shared" ref="H394:L394" si="130">G394+0.1</f>
        <v>0.2</v>
      </c>
      <c r="I394" s="461">
        <f t="shared" si="130"/>
        <v>0.30000000000000004</v>
      </c>
      <c r="J394" s="461">
        <f t="shared" si="130"/>
        <v>0.4</v>
      </c>
      <c r="K394" s="461">
        <f t="shared" si="130"/>
        <v>0.5</v>
      </c>
      <c r="L394" s="461">
        <f t="shared" si="130"/>
        <v>0.6</v>
      </c>
      <c r="M394" s="192"/>
      <c r="N394" s="192"/>
      <c r="O394" s="192"/>
    </row>
    <row r="395" spans="1:15" x14ac:dyDescent="0.2">
      <c r="A395" s="192"/>
      <c r="B395" s="192"/>
      <c r="C395" s="192"/>
      <c r="D395" s="642" t="s">
        <v>475</v>
      </c>
      <c r="E395" s="462">
        <v>0</v>
      </c>
      <c r="F395" s="463">
        <f t="dataTable" ref="F395:L403" dt2D="1" dtr="1" r1="J26" r2="C25" ca="1"/>
        <v>0.61061995118274848</v>
      </c>
      <c r="G395" s="463">
        <v>0.49002527015652209</v>
      </c>
      <c r="H395" s="463">
        <v>0.36982618893666369</v>
      </c>
      <c r="I395" s="463">
        <v>0.25223258373969126</v>
      </c>
      <c r="J395" s="463">
        <v>0.13551489670682224</v>
      </c>
      <c r="K395" s="463">
        <v>1.8797209673952722E-2</v>
      </c>
      <c r="L395" s="463">
        <v>-9.7920477358916E-2</v>
      </c>
      <c r="M395" s="192"/>
      <c r="N395" s="192"/>
      <c r="O395" s="192"/>
    </row>
    <row r="396" spans="1:15" x14ac:dyDescent="0.2">
      <c r="A396" s="192"/>
      <c r="B396" s="192"/>
      <c r="C396" s="192"/>
      <c r="D396" s="642"/>
      <c r="E396" s="464">
        <f>E395+0.125</f>
        <v>0.125</v>
      </c>
      <c r="F396" s="463">
        <v>0.73547656052544386</v>
      </c>
      <c r="G396" s="463">
        <v>0.6286035948402261</v>
      </c>
      <c r="H396" s="463">
        <v>0.52223279682788537</v>
      </c>
      <c r="I396" s="463">
        <v>0.41707405512831247</v>
      </c>
      <c r="J396" s="463">
        <v>0.31228498473341776</v>
      </c>
      <c r="K396" s="463">
        <v>0.21064769481338172</v>
      </c>
      <c r="L396" s="463">
        <v>0.10953981126154008</v>
      </c>
      <c r="M396" s="192"/>
      <c r="N396" s="192"/>
      <c r="O396" s="192"/>
    </row>
    <row r="397" spans="1:15" x14ac:dyDescent="0.2">
      <c r="A397" s="192"/>
      <c r="B397" s="192"/>
      <c r="C397" s="192"/>
      <c r="D397" s="642"/>
      <c r="E397" s="464">
        <f t="shared" ref="E397:E403" si="131">E396+0.125</f>
        <v>0.25</v>
      </c>
      <c r="F397" s="463">
        <v>0.85533684216887151</v>
      </c>
      <c r="G397" s="463">
        <v>0.76187687904907631</v>
      </c>
      <c r="H397" s="463">
        <v>0.66906092560322694</v>
      </c>
      <c r="I397" s="463">
        <v>0.57688234811800199</v>
      </c>
      <c r="J397" s="463">
        <v>0.48540799835644277</v>
      </c>
      <c r="K397" s="463">
        <v>0.3952831883651714</v>
      </c>
      <c r="L397" s="463">
        <v>0.30577096397187681</v>
      </c>
      <c r="M397" s="192"/>
      <c r="N397" s="192"/>
      <c r="O397" s="192"/>
    </row>
    <row r="398" spans="1:15" x14ac:dyDescent="0.2">
      <c r="A398" s="192"/>
      <c r="B398" s="192"/>
      <c r="C398" s="192"/>
      <c r="D398" s="642"/>
      <c r="E398" s="464">
        <f t="shared" si="131"/>
        <v>0.375</v>
      </c>
      <c r="F398" s="463">
        <v>0.87527518548682459</v>
      </c>
      <c r="G398" s="463">
        <v>0.86124918374597881</v>
      </c>
      <c r="H398" s="463">
        <v>0.80930685974225547</v>
      </c>
      <c r="I398" s="463">
        <v>0.72993217807479382</v>
      </c>
      <c r="J398" s="463">
        <v>0.65135118390745095</v>
      </c>
      <c r="K398" s="463">
        <v>0.5735520320389873</v>
      </c>
      <c r="L398" s="463">
        <v>0.49652311180924869</v>
      </c>
      <c r="M398" s="192"/>
      <c r="N398" s="192"/>
      <c r="O398" s="192"/>
    </row>
    <row r="399" spans="1:15" x14ac:dyDescent="0.2">
      <c r="A399" s="192"/>
      <c r="B399" s="192"/>
      <c r="C399" s="192"/>
      <c r="D399" s="642"/>
      <c r="E399" s="464">
        <f t="shared" si="131"/>
        <v>0.5</v>
      </c>
      <c r="F399" s="463">
        <v>0.93614403682033198</v>
      </c>
      <c r="G399" s="463">
        <v>0.88564605967464394</v>
      </c>
      <c r="H399" s="463">
        <v>0.83581296511892</v>
      </c>
      <c r="I399" s="465">
        <v>0.80610638301498672</v>
      </c>
      <c r="J399" s="463">
        <v>0.79090863209604512</v>
      </c>
      <c r="K399" s="463">
        <v>0.74311888378132585</v>
      </c>
      <c r="L399" s="463">
        <v>0.67810569982773083</v>
      </c>
      <c r="M399" s="192"/>
      <c r="N399" s="192"/>
      <c r="O399" s="192"/>
    </row>
    <row r="400" spans="1:15" x14ac:dyDescent="0.2">
      <c r="A400" s="192"/>
      <c r="B400" s="192"/>
      <c r="C400" s="192"/>
      <c r="D400" s="642"/>
      <c r="E400" s="464">
        <f t="shared" si="131"/>
        <v>0.625</v>
      </c>
      <c r="F400" s="463">
        <v>0.99951762777349273</v>
      </c>
      <c r="G400" s="463">
        <v>0.95567106784132272</v>
      </c>
      <c r="H400" s="463">
        <v>0.91253039136362935</v>
      </c>
      <c r="I400" s="463">
        <v>0.87003556096727241</v>
      </c>
      <c r="J400" s="463">
        <v>0.82820416650803474</v>
      </c>
      <c r="K400" s="463">
        <v>0.78703033436566805</v>
      </c>
      <c r="L400" s="463">
        <v>0.74649868077373138</v>
      </c>
      <c r="M400" s="192"/>
      <c r="N400" s="192"/>
      <c r="O400" s="192"/>
    </row>
    <row r="401" spans="1:15" x14ac:dyDescent="0.2">
      <c r="A401" s="192"/>
      <c r="B401" s="192"/>
      <c r="C401" s="192"/>
      <c r="D401" s="642"/>
      <c r="E401" s="464">
        <f t="shared" si="131"/>
        <v>0.75</v>
      </c>
      <c r="F401" s="463">
        <v>1.0341810124452795</v>
      </c>
      <c r="G401" s="463">
        <v>1.0046779844878964</v>
      </c>
      <c r="H401" s="463">
        <v>0.97472173003059448</v>
      </c>
      <c r="I401" s="463">
        <v>0.94436112080148493</v>
      </c>
      <c r="J401" s="463">
        <v>0.91383262601064663</v>
      </c>
      <c r="K401" s="463">
        <v>0.87885736709760964</v>
      </c>
      <c r="L401" s="463">
        <v>0.84451926199182592</v>
      </c>
      <c r="M401" s="192"/>
      <c r="N401" s="192"/>
      <c r="O401" s="192"/>
    </row>
    <row r="402" spans="1:15" x14ac:dyDescent="0.2">
      <c r="A402" s="192"/>
      <c r="B402" s="192"/>
      <c r="C402" s="192"/>
      <c r="D402" s="642"/>
      <c r="E402" s="464">
        <f t="shared" si="131"/>
        <v>0.875</v>
      </c>
      <c r="F402" s="463">
        <v>1.0260422780607357</v>
      </c>
      <c r="G402" s="463">
        <v>1.0027479169044604</v>
      </c>
      <c r="H402" s="463">
        <v>0.97994502544975459</v>
      </c>
      <c r="I402" s="463">
        <v>0.95760090326524072</v>
      </c>
      <c r="J402" s="463">
        <v>0.93517220785879263</v>
      </c>
      <c r="K402" s="463">
        <v>0.91286826977097979</v>
      </c>
      <c r="L402" s="463">
        <v>0.89102606148606378</v>
      </c>
      <c r="M402" s="198"/>
      <c r="N402" s="192"/>
      <c r="O402" s="192"/>
    </row>
    <row r="403" spans="1:15" x14ac:dyDescent="0.2">
      <c r="A403" s="228" t="s">
        <v>183</v>
      </c>
      <c r="B403" s="192"/>
      <c r="C403" s="192"/>
      <c r="D403" s="642"/>
      <c r="E403" s="464">
        <f t="shared" si="131"/>
        <v>1</v>
      </c>
      <c r="F403" s="463">
        <v>1.0066146886058709</v>
      </c>
      <c r="G403" s="463">
        <v>0.98206253560073309</v>
      </c>
      <c r="H403" s="463">
        <v>0.95810394114020914</v>
      </c>
      <c r="I403" s="463">
        <v>0.9347176380079486</v>
      </c>
      <c r="J403" s="463">
        <v>0.91188336300277562</v>
      </c>
      <c r="K403" s="463">
        <v>0.88958179838096019</v>
      </c>
      <c r="L403" s="463">
        <v>0.86779451734958934</v>
      </c>
      <c r="M403" s="192"/>
      <c r="N403" s="192"/>
      <c r="O403" s="192"/>
    </row>
    <row r="404" spans="1:15" x14ac:dyDescent="0.2">
      <c r="A404" s="192"/>
      <c r="B404" s="192"/>
      <c r="C404" s="192"/>
      <c r="D404" s="192"/>
      <c r="E404" s="192"/>
      <c r="F404" s="192"/>
      <c r="G404" s="192"/>
      <c r="H404" s="192"/>
      <c r="I404" s="192"/>
      <c r="J404" s="192"/>
      <c r="K404" s="192"/>
      <c r="L404" s="192"/>
      <c r="M404" s="192"/>
      <c r="N404" s="192"/>
      <c r="O404" s="192"/>
    </row>
    <row r="405" spans="1:15" x14ac:dyDescent="0.2">
      <c r="A405" s="192"/>
      <c r="B405" s="192"/>
      <c r="C405" s="192"/>
      <c r="D405" s="449" t="s">
        <v>476</v>
      </c>
      <c r="E405" s="192"/>
      <c r="F405" s="192"/>
      <c r="G405" s="192"/>
      <c r="H405" s="192"/>
      <c r="I405" s="192"/>
      <c r="J405" s="192"/>
      <c r="K405" s="192"/>
      <c r="L405" s="192"/>
      <c r="M405" s="192"/>
      <c r="N405" s="192"/>
      <c r="O405" s="192"/>
    </row>
    <row r="406" spans="1:15" x14ac:dyDescent="0.2">
      <c r="A406" s="192"/>
      <c r="B406" s="192"/>
      <c r="C406" s="192"/>
      <c r="D406" s="192"/>
      <c r="E406" s="192"/>
      <c r="F406" s="192"/>
      <c r="G406" s="192"/>
      <c r="H406" s="192"/>
      <c r="I406" s="192"/>
      <c r="J406" s="192"/>
      <c r="K406" s="192"/>
      <c r="L406" s="192"/>
      <c r="M406" s="192"/>
      <c r="N406" s="192"/>
      <c r="O406" s="192"/>
    </row>
    <row r="407" spans="1:15" x14ac:dyDescent="0.2">
      <c r="A407" s="192"/>
      <c r="B407" s="192"/>
      <c r="C407" s="192"/>
      <c r="D407" s="192"/>
      <c r="E407" s="192"/>
      <c r="F407" s="466" t="s">
        <v>472</v>
      </c>
      <c r="G407" s="467"/>
      <c r="H407" s="467"/>
      <c r="I407" s="467"/>
      <c r="J407" s="467"/>
      <c r="K407" s="467"/>
      <c r="L407" s="467"/>
      <c r="M407" s="192"/>
      <c r="N407" s="192"/>
      <c r="O407" s="192"/>
    </row>
    <row r="408" spans="1:15" x14ac:dyDescent="0.2">
      <c r="A408" s="192"/>
      <c r="B408" s="192"/>
      <c r="C408" s="192"/>
      <c r="D408" s="192"/>
      <c r="E408" s="192"/>
      <c r="F408" s="468">
        <f t="shared" ref="F408:L408" si="132">((F410*$J$28)-$J$30+$J$31)/$G$138</f>
        <v>21.757341647230223</v>
      </c>
      <c r="G408" s="468">
        <f t="shared" si="132"/>
        <v>24.043734793837164</v>
      </c>
      <c r="H408" s="468">
        <f t="shared" si="132"/>
        <v>26.330127940444104</v>
      </c>
      <c r="I408" s="468">
        <f t="shared" si="132"/>
        <v>28.616521087051041</v>
      </c>
      <c r="J408" s="468">
        <f t="shared" si="132"/>
        <v>30.902914233657981</v>
      </c>
      <c r="K408" s="468">
        <f t="shared" si="132"/>
        <v>33.189307380264921</v>
      </c>
      <c r="L408" s="468">
        <f t="shared" si="132"/>
        <v>35.475700526871861</v>
      </c>
      <c r="M408" s="192"/>
      <c r="N408" s="192"/>
      <c r="O408" s="192"/>
    </row>
    <row r="409" spans="1:15" x14ac:dyDescent="0.2">
      <c r="A409" s="192"/>
      <c r="B409" s="192"/>
      <c r="C409" s="192"/>
      <c r="D409" s="192"/>
      <c r="E409" s="192"/>
      <c r="F409" s="466" t="s">
        <v>473</v>
      </c>
      <c r="G409" s="467"/>
      <c r="H409" s="467"/>
      <c r="I409" s="467"/>
      <c r="J409" s="467"/>
      <c r="K409" s="467"/>
      <c r="L409" s="467"/>
      <c r="M409" s="192"/>
      <c r="N409" s="192"/>
      <c r="O409" s="192"/>
    </row>
    <row r="410" spans="1:15" x14ac:dyDescent="0.2">
      <c r="A410" s="192"/>
      <c r="B410" s="192"/>
      <c r="C410" s="192"/>
      <c r="D410" s="192"/>
      <c r="E410" s="192"/>
      <c r="F410" s="469">
        <f>$J$25*(1+F412)</f>
        <v>109.45</v>
      </c>
      <c r="G410" s="469">
        <f t="shared" ref="G410:L410" si="133">$J$25*(1+G412)</f>
        <v>120.39500000000001</v>
      </c>
      <c r="H410" s="469">
        <f t="shared" si="133"/>
        <v>131.34</v>
      </c>
      <c r="I410" s="469">
        <f t="shared" si="133"/>
        <v>142.285</v>
      </c>
      <c r="J410" s="469">
        <f t="shared" si="133"/>
        <v>153.22999999999999</v>
      </c>
      <c r="K410" s="469">
        <f t="shared" si="133"/>
        <v>164.17500000000001</v>
      </c>
      <c r="L410" s="469">
        <f t="shared" si="133"/>
        <v>175.12</v>
      </c>
      <c r="M410" s="192"/>
      <c r="N410" s="192"/>
      <c r="O410" s="192"/>
    </row>
    <row r="411" spans="1:15" x14ac:dyDescent="0.2">
      <c r="A411" s="192"/>
      <c r="B411" s="192"/>
      <c r="C411" s="192"/>
      <c r="D411" s="192"/>
      <c r="E411" s="192"/>
      <c r="F411" s="466" t="s">
        <v>474</v>
      </c>
      <c r="G411" s="467"/>
      <c r="H411" s="467"/>
      <c r="I411" s="467"/>
      <c r="J411" s="467"/>
      <c r="K411" s="467"/>
      <c r="L411" s="467"/>
      <c r="M411" s="192"/>
      <c r="N411" s="192"/>
      <c r="O411" s="192"/>
    </row>
    <row r="412" spans="1:15" x14ac:dyDescent="0.2">
      <c r="A412" s="192"/>
      <c r="B412" s="192"/>
      <c r="C412" s="192"/>
      <c r="D412" s="192"/>
      <c r="E412" s="470">
        <f ca="1">D56</f>
        <v>7.964673009921337</v>
      </c>
      <c r="F412" s="471">
        <v>0</v>
      </c>
      <c r="G412" s="472">
        <f t="shared" ref="G412:L412" si="134">F412+10%</f>
        <v>0.1</v>
      </c>
      <c r="H412" s="472">
        <f t="shared" si="134"/>
        <v>0.2</v>
      </c>
      <c r="I412" s="472">
        <f t="shared" si="134"/>
        <v>0.30000000000000004</v>
      </c>
      <c r="J412" s="472">
        <f t="shared" si="134"/>
        <v>0.4</v>
      </c>
      <c r="K412" s="472">
        <f t="shared" si="134"/>
        <v>0.5</v>
      </c>
      <c r="L412" s="472">
        <f t="shared" si="134"/>
        <v>0.6</v>
      </c>
      <c r="M412" s="192"/>
      <c r="N412" s="192"/>
      <c r="O412" s="192"/>
    </row>
    <row r="413" spans="1:15" x14ac:dyDescent="0.2">
      <c r="A413" s="192"/>
      <c r="B413" s="192"/>
      <c r="C413" s="192"/>
      <c r="D413" s="641" t="s">
        <v>475</v>
      </c>
      <c r="E413" s="473">
        <v>0</v>
      </c>
      <c r="F413" s="474">
        <f t="dataTable" ref="F413:L421" dt2D="1" dtr="1" r1="J26" r2="C25" ca="1"/>
        <v>12.32546827464078</v>
      </c>
      <c r="G413" s="474">
        <v>13.523816999209528</v>
      </c>
      <c r="H413" s="474">
        <v>14.722165723778275</v>
      </c>
      <c r="I413" s="474">
        <v>15.920514448347021</v>
      </c>
      <c r="J413" s="474">
        <v>17.118863172915766</v>
      </c>
      <c r="K413" s="474">
        <v>18.317211897484519</v>
      </c>
      <c r="L413" s="474">
        <v>19.515560622053265</v>
      </c>
      <c r="M413" s="192"/>
      <c r="N413" s="192"/>
      <c r="O413" s="192"/>
    </row>
    <row r="414" spans="1:15" x14ac:dyDescent="0.2">
      <c r="A414" s="192"/>
      <c r="B414" s="192"/>
      <c r="C414" s="192"/>
      <c r="D414" s="641"/>
      <c r="E414" s="475">
        <f t="shared" ref="E414:E421" si="135">E413+12.5%</f>
        <v>0.125</v>
      </c>
      <c r="F414" s="474">
        <v>10.778710020903299</v>
      </c>
      <c r="G414" s="474">
        <v>11.824597075679584</v>
      </c>
      <c r="H414" s="474">
        <v>12.870484130455871</v>
      </c>
      <c r="I414" s="474">
        <v>13.916371185232153</v>
      </c>
      <c r="J414" s="474">
        <v>14.96225824000844</v>
      </c>
      <c r="K414" s="474">
        <v>16.008145294784725</v>
      </c>
      <c r="L414" s="474">
        <v>17.054032349561012</v>
      </c>
      <c r="M414" s="192"/>
      <c r="N414" s="192"/>
      <c r="O414" s="192"/>
    </row>
    <row r="415" spans="1:15" x14ac:dyDescent="0.2">
      <c r="A415" s="192"/>
      <c r="B415" s="192"/>
      <c r="C415" s="192"/>
      <c r="D415" s="641"/>
      <c r="E415" s="475">
        <f t="shared" si="135"/>
        <v>0.25</v>
      </c>
      <c r="F415" s="474">
        <v>9.2398033319056001</v>
      </c>
      <c r="G415" s="474">
        <v>10.134002633994969</v>
      </c>
      <c r="H415" s="474">
        <v>11.028201936084338</v>
      </c>
      <c r="I415" s="474">
        <v>11.922401238173709</v>
      </c>
      <c r="J415" s="474">
        <v>12.816600540263078</v>
      </c>
      <c r="K415" s="474">
        <v>13.710799842352449</v>
      </c>
      <c r="L415" s="474">
        <v>14.604999144441816</v>
      </c>
      <c r="M415" s="192"/>
      <c r="N415" s="192"/>
      <c r="O415" s="192"/>
    </row>
    <row r="416" spans="1:15" x14ac:dyDescent="0.2">
      <c r="A416" s="192"/>
      <c r="B416" s="192"/>
      <c r="C416" s="192"/>
      <c r="D416" s="641"/>
      <c r="E416" s="475">
        <f t="shared" si="135"/>
        <v>0.375</v>
      </c>
      <c r="F416" s="474">
        <v>7.708688575510422</v>
      </c>
      <c r="G416" s="474">
        <v>8.4519681641669866</v>
      </c>
      <c r="H416" s="474">
        <v>9.1952477528235512</v>
      </c>
      <c r="I416" s="474">
        <v>9.9385273414801141</v>
      </c>
      <c r="J416" s="474">
        <v>10.68180693013668</v>
      </c>
      <c r="K416" s="474">
        <v>11.425086518793245</v>
      </c>
      <c r="L416" s="474">
        <v>12.16836610744981</v>
      </c>
      <c r="M416" s="192"/>
      <c r="N416" s="192"/>
      <c r="O416" s="192"/>
    </row>
    <row r="417" spans="1:15" x14ac:dyDescent="0.2">
      <c r="A417" s="192"/>
      <c r="B417" s="192"/>
      <c r="C417" s="192"/>
      <c r="D417" s="641"/>
      <c r="E417" s="475">
        <f t="shared" si="135"/>
        <v>0.5</v>
      </c>
      <c r="F417" s="474">
        <v>6.1853067219253193</v>
      </c>
      <c r="G417" s="474">
        <v>6.7784288179239924</v>
      </c>
      <c r="H417" s="474">
        <v>7.3715509139226656</v>
      </c>
      <c r="I417" s="476">
        <v>7.964673009921337</v>
      </c>
      <c r="J417" s="474">
        <v>8.557795105920011</v>
      </c>
      <c r="K417" s="474">
        <v>9.1509172019186842</v>
      </c>
      <c r="L417" s="474">
        <v>9.7440392979173573</v>
      </c>
      <c r="M417" s="192"/>
      <c r="N417" s="192"/>
      <c r="O417" s="192"/>
    </row>
    <row r="418" spans="1:15" x14ac:dyDescent="0.2">
      <c r="A418" s="477"/>
      <c r="B418" s="192"/>
      <c r="C418" s="192"/>
      <c r="D418" s="641"/>
      <c r="E418" s="475">
        <f t="shared" si="135"/>
        <v>0.625</v>
      </c>
      <c r="F418" s="474">
        <v>4.6695993361164652</v>
      </c>
      <c r="G418" s="474">
        <v>5.1133204003774377</v>
      </c>
      <c r="H418" s="474">
        <v>5.5570414646384085</v>
      </c>
      <c r="I418" s="474">
        <v>6.0007625288993802</v>
      </c>
      <c r="J418" s="474">
        <v>6.4444835931603528</v>
      </c>
      <c r="K418" s="474">
        <v>6.8882046574213254</v>
      </c>
      <c r="L418" s="474">
        <v>7.3319257216822962</v>
      </c>
      <c r="M418" s="192"/>
      <c r="N418" s="192"/>
      <c r="O418" s="192"/>
    </row>
    <row r="419" spans="1:15" x14ac:dyDescent="0.2">
      <c r="A419" s="192"/>
      <c r="B419" s="192"/>
      <c r="C419" s="192"/>
      <c r="D419" s="641"/>
      <c r="E419" s="475">
        <f t="shared" si="135"/>
        <v>0.75</v>
      </c>
      <c r="F419" s="474">
        <v>3.1615085703368009</v>
      </c>
      <c r="G419" s="474">
        <v>3.4565793618135277</v>
      </c>
      <c r="H419" s="474">
        <v>3.7516501532902544</v>
      </c>
      <c r="I419" s="474">
        <v>4.0467209447669807</v>
      </c>
      <c r="J419" s="474">
        <v>4.3417917362437075</v>
      </c>
      <c r="K419" s="474">
        <v>4.6368625277204352</v>
      </c>
      <c r="L419" s="474">
        <v>4.931933319197161</v>
      </c>
      <c r="M419" s="192"/>
      <c r="N419" s="192"/>
      <c r="O419" s="192"/>
    </row>
    <row r="420" spans="1:15" x14ac:dyDescent="0.2">
      <c r="A420" s="192"/>
      <c r="B420" s="192"/>
      <c r="C420" s="192"/>
      <c r="D420" s="641"/>
      <c r="E420" s="475">
        <f t="shared" si="135"/>
        <v>0.875</v>
      </c>
      <c r="F420" s="474">
        <v>1.660977156766559</v>
      </c>
      <c r="G420" s="474">
        <v>1.8081427896083346</v>
      </c>
      <c r="H420" s="474">
        <v>1.9553084224501107</v>
      </c>
      <c r="I420" s="474">
        <v>2.1024740552918866</v>
      </c>
      <c r="J420" s="474">
        <v>2.2496396881336622</v>
      </c>
      <c r="K420" s="474">
        <v>2.3968053209754387</v>
      </c>
      <c r="L420" s="474">
        <v>2.5439709538172148</v>
      </c>
      <c r="M420" s="192"/>
      <c r="N420" s="192"/>
      <c r="O420" s="192"/>
    </row>
    <row r="421" spans="1:15" x14ac:dyDescent="0.2">
      <c r="A421" s="192"/>
      <c r="B421" s="192"/>
      <c r="C421" s="192"/>
      <c r="D421" s="641"/>
      <c r="E421" s="475">
        <f t="shared" si="135"/>
        <v>1</v>
      </c>
      <c r="F421" s="474">
        <v>0.16794840026416782</v>
      </c>
      <c r="G421" s="474">
        <v>0.16794840026416782</v>
      </c>
      <c r="H421" s="474">
        <v>0.16794840026416782</v>
      </c>
      <c r="I421" s="474">
        <v>0.16794840026416782</v>
      </c>
      <c r="J421" s="474">
        <v>0.16794840026416782</v>
      </c>
      <c r="K421" s="474">
        <v>0.16794840026416782</v>
      </c>
      <c r="L421" s="474">
        <v>0.16794840026416782</v>
      </c>
      <c r="M421" s="192"/>
      <c r="N421" s="192"/>
      <c r="O421" s="192"/>
    </row>
    <row r="422" spans="1:15" x14ac:dyDescent="0.2">
      <c r="A422" s="192"/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</row>
    <row r="423" spans="1:15" x14ac:dyDescent="0.2">
      <c r="A423" s="192"/>
      <c r="B423" s="192"/>
      <c r="C423" s="192"/>
      <c r="D423" s="449" t="s">
        <v>477</v>
      </c>
      <c r="E423" s="192"/>
      <c r="F423" s="192"/>
      <c r="G423" s="192"/>
      <c r="H423" s="192"/>
      <c r="I423" s="192"/>
      <c r="J423" s="192"/>
      <c r="K423" s="192"/>
      <c r="L423" s="192"/>
      <c r="M423" s="192"/>
      <c r="N423" s="192"/>
      <c r="O423" s="192"/>
    </row>
    <row r="424" spans="1:15" x14ac:dyDescent="0.2">
      <c r="A424" s="192"/>
      <c r="B424" s="192"/>
      <c r="C424" s="192"/>
      <c r="D424" s="192"/>
      <c r="E424" s="192"/>
      <c r="F424" s="192"/>
      <c r="G424" s="192"/>
      <c r="H424" s="192"/>
      <c r="I424" s="192"/>
      <c r="J424" s="192"/>
      <c r="K424" s="192"/>
      <c r="L424" s="192"/>
      <c r="M424" s="192"/>
      <c r="N424" s="192"/>
      <c r="O424" s="192"/>
    </row>
    <row r="425" spans="1:15" x14ac:dyDescent="0.2">
      <c r="A425" s="192"/>
      <c r="B425" s="192"/>
      <c r="C425" s="192"/>
      <c r="D425" s="192"/>
      <c r="E425" s="192"/>
      <c r="F425" s="466" t="s">
        <v>472</v>
      </c>
      <c r="G425" s="467"/>
      <c r="H425" s="467"/>
      <c r="I425" s="467"/>
      <c r="J425" s="467"/>
      <c r="K425" s="467"/>
      <c r="L425" s="467"/>
      <c r="M425" s="192"/>
      <c r="N425" s="192"/>
      <c r="O425" s="192"/>
    </row>
    <row r="426" spans="1:15" x14ac:dyDescent="0.2">
      <c r="A426" s="192"/>
      <c r="B426" s="192"/>
      <c r="C426" s="192"/>
      <c r="D426" s="192"/>
      <c r="E426" s="192"/>
      <c r="F426" s="468">
        <f t="shared" ref="F426:L426" si="136">((F428*$J$28)-$J$30+$J$31)/$G$138</f>
        <v>21.757341647230223</v>
      </c>
      <c r="G426" s="468">
        <f t="shared" si="136"/>
        <v>24.043734793837164</v>
      </c>
      <c r="H426" s="468">
        <f t="shared" si="136"/>
        <v>26.330127940444104</v>
      </c>
      <c r="I426" s="468">
        <f t="shared" si="136"/>
        <v>28.616521087051041</v>
      </c>
      <c r="J426" s="468">
        <f t="shared" si="136"/>
        <v>30.902914233657981</v>
      </c>
      <c r="K426" s="468">
        <f t="shared" si="136"/>
        <v>33.189307380264921</v>
      </c>
      <c r="L426" s="468">
        <f t="shared" si="136"/>
        <v>35.475700526871861</v>
      </c>
      <c r="M426" s="192"/>
      <c r="N426" s="192"/>
      <c r="O426" s="192"/>
    </row>
    <row r="427" spans="1:15" x14ac:dyDescent="0.2">
      <c r="A427" s="192"/>
      <c r="B427" s="192"/>
      <c r="C427" s="192"/>
      <c r="D427" s="192"/>
      <c r="E427" s="192"/>
      <c r="F427" s="466" t="s">
        <v>473</v>
      </c>
      <c r="G427" s="467"/>
      <c r="H427" s="467"/>
      <c r="I427" s="467"/>
      <c r="J427" s="467"/>
      <c r="K427" s="467"/>
      <c r="L427" s="467"/>
      <c r="M427" s="192"/>
      <c r="N427" s="192"/>
      <c r="O427" s="192"/>
    </row>
    <row r="428" spans="1:15" x14ac:dyDescent="0.2">
      <c r="A428" s="192"/>
      <c r="B428" s="192"/>
      <c r="C428" s="192"/>
      <c r="D428" s="192"/>
      <c r="E428" s="192"/>
      <c r="F428" s="469">
        <f>$J$25*(1+F430)</f>
        <v>109.45</v>
      </c>
      <c r="G428" s="469">
        <f t="shared" ref="G428:L428" si="137">$J$25*(1+G430)</f>
        <v>120.39500000000001</v>
      </c>
      <c r="H428" s="469">
        <f t="shared" si="137"/>
        <v>131.34</v>
      </c>
      <c r="I428" s="469">
        <f t="shared" si="137"/>
        <v>142.285</v>
      </c>
      <c r="J428" s="469">
        <f t="shared" si="137"/>
        <v>153.22999999999999</v>
      </c>
      <c r="K428" s="469">
        <f t="shared" si="137"/>
        <v>164.17500000000001</v>
      </c>
      <c r="L428" s="469">
        <f t="shared" si="137"/>
        <v>175.12</v>
      </c>
      <c r="M428" s="192"/>
      <c r="N428" s="192"/>
      <c r="O428" s="192"/>
    </row>
    <row r="429" spans="1:15" x14ac:dyDescent="0.2">
      <c r="A429" s="192"/>
      <c r="B429" s="192"/>
      <c r="C429" s="192"/>
      <c r="D429" s="192"/>
      <c r="E429" s="192"/>
      <c r="F429" s="466" t="s">
        <v>474</v>
      </c>
      <c r="G429" s="467"/>
      <c r="H429" s="467"/>
      <c r="I429" s="467"/>
      <c r="J429" s="467"/>
      <c r="K429" s="467"/>
      <c r="L429" s="467"/>
      <c r="M429" s="192"/>
      <c r="N429" s="192"/>
      <c r="O429" s="192"/>
    </row>
    <row r="430" spans="1:15" x14ac:dyDescent="0.2">
      <c r="A430" s="192"/>
      <c r="B430" s="192"/>
      <c r="C430" s="192"/>
      <c r="D430" s="192"/>
      <c r="E430" s="470">
        <f ca="1">$J$381</f>
        <v>0.80610638301483639</v>
      </c>
      <c r="F430" s="471">
        <v>0</v>
      </c>
      <c r="G430" s="472">
        <f t="shared" ref="G430:L430" si="138">F430+10%</f>
        <v>0.1</v>
      </c>
      <c r="H430" s="472">
        <f t="shared" si="138"/>
        <v>0.2</v>
      </c>
      <c r="I430" s="472">
        <f t="shared" si="138"/>
        <v>0.30000000000000004</v>
      </c>
      <c r="J430" s="472">
        <f t="shared" si="138"/>
        <v>0.4</v>
      </c>
      <c r="K430" s="472">
        <f t="shared" si="138"/>
        <v>0.5</v>
      </c>
      <c r="L430" s="472">
        <f t="shared" si="138"/>
        <v>0.6</v>
      </c>
      <c r="M430" s="192"/>
      <c r="N430" s="192"/>
      <c r="O430" s="192"/>
    </row>
    <row r="431" spans="1:15" x14ac:dyDescent="0.2">
      <c r="A431" s="192"/>
      <c r="B431" s="192"/>
      <c r="C431" s="192"/>
      <c r="D431" s="641" t="s">
        <v>478</v>
      </c>
      <c r="E431" s="473">
        <v>0</v>
      </c>
      <c r="F431" s="478">
        <f t="dataTable" ref="F431:L439" dt2D="1" dtr="1" r1="J26" r2="J166" ca="1"/>
        <v>0.71426628594115271</v>
      </c>
      <c r="G431" s="478">
        <v>0.66523866739311555</v>
      </c>
      <c r="H431" s="478">
        <v>0.61892308351446312</v>
      </c>
      <c r="I431" s="478">
        <v>0.60485015313257662</v>
      </c>
      <c r="J431" s="478">
        <v>0.56286364499436681</v>
      </c>
      <c r="K431" s="478">
        <v>0.49859443606824616</v>
      </c>
      <c r="L431" s="478">
        <v>0.43514971758349946</v>
      </c>
      <c r="M431" s="192"/>
      <c r="N431" s="192"/>
      <c r="O431" s="192"/>
    </row>
    <row r="432" spans="1:15" x14ac:dyDescent="0.2">
      <c r="A432" s="192"/>
      <c r="B432" s="192"/>
      <c r="C432" s="192"/>
      <c r="D432" s="641"/>
      <c r="E432" s="475">
        <f t="shared" ref="E432:E439" si="139">E431+1.25%</f>
        <v>1.2500000000000001E-2</v>
      </c>
      <c r="F432" s="478">
        <v>0.7697357236609732</v>
      </c>
      <c r="G432" s="478">
        <v>0.72034051546349798</v>
      </c>
      <c r="H432" s="478">
        <v>0.67159567022725708</v>
      </c>
      <c r="I432" s="478">
        <v>0.65516421060314334</v>
      </c>
      <c r="J432" s="478">
        <v>0.62439196900473926</v>
      </c>
      <c r="K432" s="478">
        <v>0.55972554799651664</v>
      </c>
      <c r="L432" s="478">
        <v>0.49588871314455779</v>
      </c>
      <c r="M432" s="192"/>
      <c r="N432" s="192"/>
      <c r="O432" s="192"/>
    </row>
    <row r="433" spans="1:15" x14ac:dyDescent="0.2">
      <c r="A433" s="192"/>
      <c r="B433" s="192"/>
      <c r="C433" s="192"/>
      <c r="D433" s="641"/>
      <c r="E433" s="475">
        <f t="shared" si="139"/>
        <v>2.5000000000000001E-2</v>
      </c>
      <c r="F433" s="478">
        <v>0.82520516138073063</v>
      </c>
      <c r="G433" s="478">
        <v>0.77544236353387974</v>
      </c>
      <c r="H433" s="478">
        <v>0.72633476852447831</v>
      </c>
      <c r="I433" s="478">
        <v>0.70547826807385761</v>
      </c>
      <c r="J433" s="478">
        <v>0.68592029301511082</v>
      </c>
      <c r="K433" s="478">
        <v>0.62085665992478589</v>
      </c>
      <c r="L433" s="478">
        <v>0.55662770870561495</v>
      </c>
      <c r="M433" s="192"/>
      <c r="N433" s="192"/>
      <c r="O433" s="192"/>
    </row>
    <row r="434" spans="1:15" x14ac:dyDescent="0.2">
      <c r="A434" s="192"/>
      <c r="B434" s="192"/>
      <c r="C434" s="192"/>
      <c r="D434" s="641"/>
      <c r="E434" s="475">
        <f t="shared" si="139"/>
        <v>3.7500000000000006E-2</v>
      </c>
      <c r="F434" s="478">
        <v>0.88067459910048873</v>
      </c>
      <c r="G434" s="478">
        <v>0.83054421160426184</v>
      </c>
      <c r="H434" s="478">
        <v>0.78107386682169955</v>
      </c>
      <c r="I434" s="478">
        <v>0.75579232554442277</v>
      </c>
      <c r="J434" s="478">
        <v>0.7409215006521207</v>
      </c>
      <c r="K434" s="478">
        <v>0.68198777185305637</v>
      </c>
      <c r="L434" s="478">
        <v>0.61736670426667306</v>
      </c>
      <c r="M434" s="192"/>
      <c r="N434" s="192"/>
      <c r="O434" s="192"/>
    </row>
    <row r="435" spans="1:15" x14ac:dyDescent="0.2">
      <c r="A435" s="192"/>
      <c r="B435" s="192"/>
      <c r="C435" s="192"/>
      <c r="D435" s="641"/>
      <c r="E435" s="475">
        <f t="shared" si="139"/>
        <v>0.05</v>
      </c>
      <c r="F435" s="478">
        <v>0.93614403682024605</v>
      </c>
      <c r="G435" s="478">
        <v>0.88564605967464394</v>
      </c>
      <c r="H435" s="478">
        <v>0.83581296511892</v>
      </c>
      <c r="I435" s="479">
        <v>0.80610638301498672</v>
      </c>
      <c r="J435" s="478">
        <v>0.79090863209604512</v>
      </c>
      <c r="K435" s="478">
        <v>0.74311888378132585</v>
      </c>
      <c r="L435" s="478">
        <v>0.67810569982773083</v>
      </c>
      <c r="M435" s="192"/>
      <c r="N435" s="192"/>
      <c r="O435" s="192"/>
    </row>
    <row r="436" spans="1:15" x14ac:dyDescent="0.2">
      <c r="A436" s="192"/>
      <c r="B436" s="192"/>
      <c r="C436" s="641"/>
      <c r="D436" s="641"/>
      <c r="E436" s="475">
        <f t="shared" si="139"/>
        <v>6.25E-2</v>
      </c>
      <c r="F436" s="478">
        <v>0.99161347454000448</v>
      </c>
      <c r="G436" s="478">
        <v>0.94074790774502648</v>
      </c>
      <c r="H436" s="478">
        <v>0.89055206341614124</v>
      </c>
      <c r="I436" s="478">
        <v>0.85642044048555255</v>
      </c>
      <c r="J436" s="478">
        <v>0.84089576353997053</v>
      </c>
      <c r="K436" s="478">
        <v>0.80424999570959632</v>
      </c>
      <c r="L436" s="478">
        <v>0.73884469538878861</v>
      </c>
      <c r="M436" s="192"/>
      <c r="N436" s="192"/>
      <c r="O436" s="192"/>
    </row>
    <row r="437" spans="1:15" x14ac:dyDescent="0.2">
      <c r="A437" s="192"/>
      <c r="B437" s="192"/>
      <c r="C437" s="641"/>
      <c r="D437" s="641"/>
      <c r="E437" s="475">
        <f t="shared" si="139"/>
        <v>7.4999999999999997E-2</v>
      </c>
      <c r="F437" s="478">
        <v>1.0470829122597618</v>
      </c>
      <c r="G437" s="478">
        <v>0.99584975581540824</v>
      </c>
      <c r="H437" s="478">
        <v>0.94529116171336147</v>
      </c>
      <c r="I437" s="478">
        <v>0.90673449795611649</v>
      </c>
      <c r="J437" s="478">
        <v>0.89088289498404372</v>
      </c>
      <c r="K437" s="478">
        <v>0.86538110763786591</v>
      </c>
      <c r="L437" s="478">
        <v>0.79958369094984605</v>
      </c>
      <c r="M437" s="192"/>
      <c r="N437" s="192"/>
      <c r="O437" s="192"/>
    </row>
    <row r="438" spans="1:15" x14ac:dyDescent="0.2">
      <c r="A438" s="192"/>
      <c r="B438" s="192"/>
      <c r="C438" s="641"/>
      <c r="D438" s="641"/>
      <c r="E438" s="475">
        <f t="shared" si="139"/>
        <v>8.7499999999999994E-2</v>
      </c>
      <c r="F438" s="478">
        <v>1.1025523499795196</v>
      </c>
      <c r="G438" s="478">
        <v>1.0509516038857907</v>
      </c>
      <c r="H438" s="478">
        <v>1.0000302600105826</v>
      </c>
      <c r="I438" s="478">
        <v>0.95704855542668166</v>
      </c>
      <c r="J438" s="478">
        <v>0.94087002642796891</v>
      </c>
      <c r="K438" s="478">
        <v>0.92490038682409781</v>
      </c>
      <c r="L438" s="478">
        <v>0.86032268651090427</v>
      </c>
      <c r="M438" s="192"/>
      <c r="N438" s="192"/>
      <c r="O438" s="192"/>
    </row>
    <row r="439" spans="1:15" x14ac:dyDescent="0.2">
      <c r="A439" s="192"/>
      <c r="B439" s="192"/>
      <c r="C439" s="641"/>
      <c r="D439" s="641"/>
      <c r="E439" s="475">
        <f t="shared" si="139"/>
        <v>9.9999999999999992E-2</v>
      </c>
      <c r="F439" s="478">
        <v>1.1580217876992771</v>
      </c>
      <c r="G439" s="478">
        <v>1.1060534519561722</v>
      </c>
      <c r="H439" s="478">
        <v>1.0547693583078033</v>
      </c>
      <c r="I439" s="478">
        <v>1.007362612897249</v>
      </c>
      <c r="J439" s="478">
        <v>0.99085715787189366</v>
      </c>
      <c r="K439" s="478">
        <v>0.97456481335319645</v>
      </c>
      <c r="L439" s="478">
        <v>0.92106168207196137</v>
      </c>
      <c r="M439" s="192"/>
      <c r="N439" s="192"/>
      <c r="O439" s="192"/>
    </row>
    <row r="440" spans="1:15" x14ac:dyDescent="0.2">
      <c r="A440" s="192"/>
      <c r="B440" s="192"/>
      <c r="C440" s="641"/>
      <c r="D440" s="449"/>
      <c r="E440" s="192"/>
      <c r="F440" s="192"/>
      <c r="G440" s="192"/>
      <c r="H440" s="192"/>
      <c r="I440" s="192"/>
      <c r="J440" s="192"/>
      <c r="K440" s="192"/>
      <c r="L440" s="192"/>
      <c r="M440" s="192"/>
      <c r="N440" s="192"/>
      <c r="O440" s="192"/>
    </row>
    <row r="441" spans="1:15" x14ac:dyDescent="0.2">
      <c r="A441" s="192"/>
      <c r="B441" s="192"/>
      <c r="C441" s="641"/>
      <c r="D441" s="449" t="s">
        <v>479</v>
      </c>
      <c r="E441" s="192"/>
      <c r="F441" s="192"/>
      <c r="G441" s="192"/>
      <c r="H441" s="192"/>
      <c r="I441" s="192"/>
      <c r="J441" s="192"/>
      <c r="K441" s="192"/>
      <c r="L441" s="192"/>
      <c r="M441" s="192"/>
      <c r="N441" s="192"/>
      <c r="O441" s="192"/>
    </row>
    <row r="442" spans="1:15" x14ac:dyDescent="0.2">
      <c r="A442" s="192"/>
      <c r="B442" s="192"/>
      <c r="C442" s="641"/>
      <c r="D442" s="192"/>
      <c r="E442" s="192"/>
      <c r="F442" s="192"/>
      <c r="G442" s="192"/>
      <c r="H442" s="192"/>
      <c r="I442" s="192"/>
      <c r="J442" s="192"/>
      <c r="K442" s="192"/>
      <c r="L442" s="192"/>
      <c r="M442" s="192"/>
      <c r="N442" s="192"/>
      <c r="O442" s="192"/>
    </row>
    <row r="443" spans="1:15" x14ac:dyDescent="0.2">
      <c r="A443" s="192"/>
      <c r="B443" s="192"/>
      <c r="C443" s="641"/>
      <c r="D443" s="192"/>
      <c r="E443" s="192"/>
      <c r="F443" s="466" t="s">
        <v>472</v>
      </c>
      <c r="G443" s="467"/>
      <c r="H443" s="467"/>
      <c r="I443" s="467"/>
      <c r="J443" s="467"/>
      <c r="K443" s="467"/>
      <c r="L443" s="467"/>
      <c r="M443" s="192"/>
      <c r="N443" s="192"/>
      <c r="O443" s="192"/>
    </row>
    <row r="444" spans="1:15" x14ac:dyDescent="0.2">
      <c r="A444" s="192"/>
      <c r="B444" s="192"/>
      <c r="C444" s="641"/>
      <c r="D444" s="192"/>
      <c r="E444" s="192"/>
      <c r="F444" s="468">
        <f t="shared" ref="F444:L444" si="140">((F446*$J$28)-$J$30+$J$31)/$G$138</f>
        <v>21.757341647230223</v>
      </c>
      <c r="G444" s="468">
        <f t="shared" si="140"/>
        <v>24.043734793837164</v>
      </c>
      <c r="H444" s="468">
        <f t="shared" si="140"/>
        <v>26.330127940444104</v>
      </c>
      <c r="I444" s="468">
        <f t="shared" si="140"/>
        <v>28.616521087051041</v>
      </c>
      <c r="J444" s="468">
        <f t="shared" si="140"/>
        <v>30.902914233657981</v>
      </c>
      <c r="K444" s="468">
        <f t="shared" si="140"/>
        <v>33.189307380264921</v>
      </c>
      <c r="L444" s="468">
        <f t="shared" si="140"/>
        <v>35.475700526871861</v>
      </c>
      <c r="M444" s="192"/>
      <c r="N444" s="192"/>
      <c r="O444" s="192"/>
    </row>
    <row r="445" spans="1:15" x14ac:dyDescent="0.2">
      <c r="A445" s="192"/>
      <c r="B445" s="192"/>
      <c r="C445" s="192"/>
      <c r="D445" s="192"/>
      <c r="E445" s="192"/>
      <c r="F445" s="466" t="s">
        <v>473</v>
      </c>
      <c r="G445" s="467"/>
      <c r="H445" s="467"/>
      <c r="I445" s="467"/>
      <c r="J445" s="467"/>
      <c r="K445" s="467"/>
      <c r="L445" s="467"/>
      <c r="M445" s="192"/>
      <c r="N445" s="192"/>
      <c r="O445" s="192"/>
    </row>
    <row r="446" spans="1:15" x14ac:dyDescent="0.2">
      <c r="A446" s="192"/>
      <c r="B446" s="192"/>
      <c r="C446" s="192"/>
      <c r="D446" s="192"/>
      <c r="E446" s="192"/>
      <c r="F446" s="469">
        <f>$J$25*(1+F448)</f>
        <v>109.45</v>
      </c>
      <c r="G446" s="469">
        <f t="shared" ref="G446:L446" si="141">$J$25*(1+G448)</f>
        <v>120.39500000000001</v>
      </c>
      <c r="H446" s="469">
        <f t="shared" si="141"/>
        <v>131.34</v>
      </c>
      <c r="I446" s="469">
        <f t="shared" si="141"/>
        <v>142.285</v>
      </c>
      <c r="J446" s="469">
        <f t="shared" si="141"/>
        <v>153.22999999999999</v>
      </c>
      <c r="K446" s="469">
        <f t="shared" si="141"/>
        <v>164.17500000000001</v>
      </c>
      <c r="L446" s="469">
        <f t="shared" si="141"/>
        <v>175.12</v>
      </c>
      <c r="M446" s="192"/>
      <c r="N446" s="192"/>
      <c r="O446" s="192"/>
    </row>
    <row r="447" spans="1:15" x14ac:dyDescent="0.2">
      <c r="A447" s="192"/>
      <c r="B447" s="192"/>
      <c r="C447" s="192"/>
      <c r="D447" s="192"/>
      <c r="E447" s="192"/>
      <c r="F447" s="466" t="s">
        <v>474</v>
      </c>
      <c r="G447" s="467"/>
      <c r="H447" s="467"/>
      <c r="I447" s="467"/>
      <c r="J447" s="467"/>
      <c r="K447" s="467"/>
      <c r="L447" s="467"/>
      <c r="M447" s="192"/>
      <c r="N447" s="192"/>
      <c r="O447" s="192"/>
    </row>
    <row r="448" spans="1:15" x14ac:dyDescent="0.2">
      <c r="A448" s="192"/>
      <c r="B448" s="192"/>
      <c r="C448" s="192"/>
      <c r="D448" s="192"/>
      <c r="E448" s="470">
        <f ca="1">$J$381</f>
        <v>0.80610638301483639</v>
      </c>
      <c r="F448" s="471">
        <v>0</v>
      </c>
      <c r="G448" s="472">
        <f t="shared" ref="G448:L448" si="142">F448+10%</f>
        <v>0.1</v>
      </c>
      <c r="H448" s="472">
        <f t="shared" si="142"/>
        <v>0.2</v>
      </c>
      <c r="I448" s="472">
        <f t="shared" si="142"/>
        <v>0.30000000000000004</v>
      </c>
      <c r="J448" s="472">
        <f t="shared" si="142"/>
        <v>0.4</v>
      </c>
      <c r="K448" s="472">
        <f t="shared" si="142"/>
        <v>0.5</v>
      </c>
      <c r="L448" s="472">
        <f t="shared" si="142"/>
        <v>0.6</v>
      </c>
      <c r="M448" s="192"/>
      <c r="N448" s="192"/>
      <c r="O448" s="192"/>
    </row>
    <row r="449" spans="1:15" x14ac:dyDescent="0.2">
      <c r="A449" s="192"/>
      <c r="B449" s="192"/>
      <c r="C449" s="192"/>
      <c r="D449" s="641" t="s">
        <v>480</v>
      </c>
      <c r="E449" s="473">
        <v>0</v>
      </c>
      <c r="F449" s="478">
        <f t="dataTable" ref="F449:L457" dt2D="1" dtr="1" r1="J26" r2="J171" ca="1"/>
        <v>0.85041187277078834</v>
      </c>
      <c r="G449" s="478">
        <v>0.80048203291703723</v>
      </c>
      <c r="H449" s="478">
        <v>0.75120959526248221</v>
      </c>
      <c r="I449" s="478">
        <v>0.72866187778931846</v>
      </c>
      <c r="J449" s="478">
        <v>0.71345267191548911</v>
      </c>
      <c r="K449" s="478">
        <v>0.64821129639963637</v>
      </c>
      <c r="L449" s="478">
        <v>0.58380688295930527</v>
      </c>
      <c r="M449" s="192"/>
      <c r="N449" s="192"/>
      <c r="O449" s="192"/>
    </row>
    <row r="450" spans="1:15" x14ac:dyDescent="0.2">
      <c r="A450" s="192"/>
      <c r="B450" s="192"/>
      <c r="C450" s="192"/>
      <c r="D450" s="641"/>
      <c r="E450" s="475">
        <f t="shared" ref="E450:E457" si="143">E449+0.75%</f>
        <v>7.4999999999999997E-3</v>
      </c>
      <c r="F450" s="478">
        <v>0.8718449137832005</v>
      </c>
      <c r="G450" s="478">
        <v>0.8217730396064391</v>
      </c>
      <c r="H450" s="478">
        <v>0.77236043772659169</v>
      </c>
      <c r="I450" s="478">
        <v>0.74802300409573563</v>
      </c>
      <c r="J450" s="478">
        <v>0.73320266198138062</v>
      </c>
      <c r="K450" s="478">
        <v>0.67193819324505888</v>
      </c>
      <c r="L450" s="478">
        <v>0.60738158717641177</v>
      </c>
      <c r="M450" s="192"/>
      <c r="N450" s="192"/>
      <c r="O450" s="192"/>
    </row>
    <row r="451" spans="1:15" x14ac:dyDescent="0.2">
      <c r="A451" s="192"/>
      <c r="B451" s="192"/>
      <c r="C451" s="192"/>
      <c r="D451" s="641"/>
      <c r="E451" s="475">
        <f t="shared" si="143"/>
        <v>1.4999999999999999E-2</v>
      </c>
      <c r="F451" s="478">
        <v>0.89327795479554861</v>
      </c>
      <c r="G451" s="478">
        <v>0.84306404629584064</v>
      </c>
      <c r="H451" s="478">
        <v>0.79351128019070116</v>
      </c>
      <c r="I451" s="478">
        <v>0.76738413040215292</v>
      </c>
      <c r="J451" s="478">
        <v>0.75243798535293516</v>
      </c>
      <c r="K451" s="478">
        <v>0.69566509009048105</v>
      </c>
      <c r="L451" s="478">
        <v>0.63095629139351805</v>
      </c>
      <c r="M451" s="192"/>
      <c r="N451" s="192"/>
      <c r="O451" s="192"/>
    </row>
    <row r="452" spans="1:15" x14ac:dyDescent="0.2">
      <c r="A452" s="192"/>
      <c r="B452" s="192"/>
      <c r="C452" s="192"/>
      <c r="D452" s="641"/>
      <c r="E452" s="475">
        <f t="shared" si="143"/>
        <v>2.2499999999999999E-2</v>
      </c>
      <c r="F452" s="478">
        <v>0.91471099580789772</v>
      </c>
      <c r="G452" s="478">
        <v>0.86435505298524284</v>
      </c>
      <c r="H452" s="478">
        <v>0.81466212265481064</v>
      </c>
      <c r="I452" s="478">
        <v>0.7867452567085701</v>
      </c>
      <c r="J452" s="478">
        <v>0.77167330872449091</v>
      </c>
      <c r="K452" s="478">
        <v>0.719391986935904</v>
      </c>
      <c r="L452" s="478">
        <v>0.65453099561062456</v>
      </c>
      <c r="M452" s="192"/>
      <c r="N452" s="192"/>
      <c r="O452" s="192"/>
    </row>
    <row r="453" spans="1:15" x14ac:dyDescent="0.2">
      <c r="A453" s="192"/>
      <c r="B453" s="192"/>
      <c r="C453" s="192"/>
      <c r="D453" s="641"/>
      <c r="E453" s="475">
        <f t="shared" si="143"/>
        <v>0.03</v>
      </c>
      <c r="F453" s="478">
        <v>0.93614403682024605</v>
      </c>
      <c r="G453" s="478">
        <v>0.88564605967464394</v>
      </c>
      <c r="H453" s="478">
        <v>0.83581296511892</v>
      </c>
      <c r="I453" s="479">
        <v>0.80610638301498672</v>
      </c>
      <c r="J453" s="478">
        <v>0.79090863209604512</v>
      </c>
      <c r="K453" s="478">
        <v>0.74311888378132585</v>
      </c>
      <c r="L453" s="478">
        <v>0.67810569982773083</v>
      </c>
      <c r="M453" s="192"/>
      <c r="N453" s="192"/>
      <c r="O453" s="192"/>
    </row>
    <row r="454" spans="1:15" x14ac:dyDescent="0.2">
      <c r="A454" s="192"/>
      <c r="B454" s="192"/>
      <c r="C454" s="192"/>
      <c r="D454" s="641"/>
      <c r="E454" s="475">
        <f t="shared" si="143"/>
        <v>3.7499999999999999E-2</v>
      </c>
      <c r="F454" s="478">
        <v>0.95757707783259516</v>
      </c>
      <c r="G454" s="478">
        <v>0.90693706636404547</v>
      </c>
      <c r="H454" s="478">
        <v>0.85696380758302948</v>
      </c>
      <c r="I454" s="478">
        <v>0.82546750932140456</v>
      </c>
      <c r="J454" s="478">
        <v>0.81014395546760054</v>
      </c>
      <c r="K454" s="478">
        <v>0.76684578062674846</v>
      </c>
      <c r="L454" s="478">
        <v>0.70168040404483711</v>
      </c>
      <c r="M454" s="192"/>
      <c r="N454" s="192"/>
      <c r="O454" s="192"/>
    </row>
    <row r="455" spans="1:15" x14ac:dyDescent="0.2">
      <c r="A455" s="192"/>
      <c r="B455" s="192"/>
      <c r="C455" s="192"/>
      <c r="D455" s="641"/>
      <c r="E455" s="475">
        <f t="shared" si="143"/>
        <v>4.4999999999999998E-2</v>
      </c>
      <c r="F455" s="478">
        <v>0.9790101188449436</v>
      </c>
      <c r="G455" s="478">
        <v>0.92822807305344734</v>
      </c>
      <c r="H455" s="478">
        <v>0.87811465004713829</v>
      </c>
      <c r="I455" s="478">
        <v>0.84482863562782184</v>
      </c>
      <c r="J455" s="478">
        <v>0.82937927883915541</v>
      </c>
      <c r="K455" s="478">
        <v>0.7905726774721703</v>
      </c>
      <c r="L455" s="478">
        <v>0.72525510826194295</v>
      </c>
      <c r="M455" s="192"/>
      <c r="N455" s="192"/>
      <c r="O455" s="192"/>
    </row>
    <row r="456" spans="1:15" x14ac:dyDescent="0.2">
      <c r="A456" s="192"/>
      <c r="B456" s="192"/>
      <c r="C456" s="192"/>
      <c r="D456" s="641"/>
      <c r="E456" s="475">
        <f t="shared" si="143"/>
        <v>5.2499999999999998E-2</v>
      </c>
      <c r="F456" s="478">
        <v>1.0004431598572923</v>
      </c>
      <c r="G456" s="478">
        <v>0.94951907974284921</v>
      </c>
      <c r="H456" s="478">
        <v>0.89926549251124865</v>
      </c>
      <c r="I456" s="478">
        <v>0.86418976193423869</v>
      </c>
      <c r="J456" s="478">
        <v>0.84861460221085894</v>
      </c>
      <c r="K456" s="478">
        <v>0.81429957431759314</v>
      </c>
      <c r="L456" s="478">
        <v>0.74882981247904989</v>
      </c>
      <c r="M456" s="192"/>
      <c r="N456" s="192"/>
      <c r="O456" s="192"/>
    </row>
    <row r="457" spans="1:15" x14ac:dyDescent="0.2">
      <c r="A457" s="192"/>
      <c r="B457" s="192"/>
      <c r="C457" s="192"/>
      <c r="D457" s="641"/>
      <c r="E457" s="475">
        <f t="shared" si="143"/>
        <v>0.06</v>
      </c>
      <c r="F457" s="478">
        <v>1.0218762008696414</v>
      </c>
      <c r="G457" s="478">
        <v>0.97081008643225042</v>
      </c>
      <c r="H457" s="478">
        <v>0.92041633497535746</v>
      </c>
      <c r="I457" s="478">
        <v>0.88355088824065597</v>
      </c>
      <c r="J457" s="478">
        <v>0.86784992558241347</v>
      </c>
      <c r="K457" s="478">
        <v>0.8380264711630151</v>
      </c>
      <c r="L457" s="478">
        <v>0.7724045166961554</v>
      </c>
      <c r="M457" s="192"/>
      <c r="N457" s="192"/>
      <c r="O457" s="192"/>
    </row>
    <row r="458" spans="1:15" x14ac:dyDescent="0.2">
      <c r="A458" s="192"/>
      <c r="B458" s="192"/>
      <c r="C458" s="192"/>
      <c r="D458" s="192"/>
      <c r="E458" s="192"/>
      <c r="F458" s="192"/>
      <c r="G458" s="192"/>
      <c r="H458" s="192"/>
      <c r="I458" s="192"/>
      <c r="J458" s="192"/>
      <c r="K458" s="192"/>
      <c r="L458" s="192"/>
      <c r="M458" s="192"/>
      <c r="N458" s="192"/>
      <c r="O458" s="192"/>
    </row>
    <row r="459" spans="1:15" x14ac:dyDescent="0.2">
      <c r="A459" s="192"/>
      <c r="B459" s="192"/>
      <c r="C459" s="192"/>
      <c r="D459" s="449" t="s">
        <v>481</v>
      </c>
      <c r="E459" s="192"/>
      <c r="F459" s="192"/>
      <c r="G459" s="192"/>
      <c r="H459" s="192"/>
      <c r="I459" s="192"/>
      <c r="J459" s="192"/>
      <c r="K459" s="192"/>
      <c r="L459" s="192"/>
      <c r="M459" s="192"/>
      <c r="N459" s="192"/>
      <c r="O459" s="192"/>
    </row>
    <row r="460" spans="1:15" x14ac:dyDescent="0.2">
      <c r="A460" s="192"/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</row>
    <row r="461" spans="1:15" x14ac:dyDescent="0.2">
      <c r="A461" s="192"/>
      <c r="B461" s="192"/>
      <c r="C461" s="192"/>
      <c r="D461" s="192"/>
      <c r="E461" s="192"/>
      <c r="F461" s="466" t="s">
        <v>472</v>
      </c>
      <c r="G461" s="467"/>
      <c r="H461" s="467"/>
      <c r="I461" s="467"/>
      <c r="J461" s="467"/>
      <c r="K461" s="467"/>
      <c r="L461" s="467"/>
      <c r="M461" s="192"/>
      <c r="N461" s="192"/>
      <c r="O461" s="192"/>
    </row>
    <row r="462" spans="1:15" x14ac:dyDescent="0.2">
      <c r="A462" s="192"/>
      <c r="B462" s="192"/>
      <c r="C462" s="192"/>
      <c r="D462" s="192"/>
      <c r="E462" s="192"/>
      <c r="F462" s="468">
        <f t="shared" ref="F462:L462" si="144">((F464*$J$28)-$J$30+$J$31)/$G$138</f>
        <v>21.757341647230223</v>
      </c>
      <c r="G462" s="468">
        <f t="shared" si="144"/>
        <v>24.043734793837164</v>
      </c>
      <c r="H462" s="468">
        <f t="shared" si="144"/>
        <v>26.330127940444104</v>
      </c>
      <c r="I462" s="468">
        <f t="shared" si="144"/>
        <v>28.616521087051041</v>
      </c>
      <c r="J462" s="468">
        <f t="shared" si="144"/>
        <v>30.902914233657981</v>
      </c>
      <c r="K462" s="468">
        <f t="shared" si="144"/>
        <v>33.189307380264921</v>
      </c>
      <c r="L462" s="468">
        <f t="shared" si="144"/>
        <v>35.475700526871861</v>
      </c>
      <c r="M462" s="192"/>
      <c r="N462" s="192"/>
      <c r="O462" s="192"/>
    </row>
    <row r="463" spans="1:15" x14ac:dyDescent="0.2">
      <c r="A463" s="192"/>
      <c r="B463" s="192"/>
      <c r="C463" s="192"/>
      <c r="D463" s="192"/>
      <c r="E463" s="192"/>
      <c r="F463" s="466" t="s">
        <v>473</v>
      </c>
      <c r="G463" s="467"/>
      <c r="H463" s="467"/>
      <c r="I463" s="467"/>
      <c r="J463" s="467"/>
      <c r="K463" s="467"/>
      <c r="L463" s="467"/>
      <c r="M463" s="192"/>
      <c r="N463" s="192"/>
      <c r="O463" s="192"/>
    </row>
    <row r="464" spans="1:15" x14ac:dyDescent="0.2">
      <c r="A464" s="192"/>
      <c r="B464" s="192"/>
      <c r="C464" s="192"/>
      <c r="D464" s="192"/>
      <c r="E464" s="192"/>
      <c r="F464" s="469">
        <f>$J$25*(1+F466)</f>
        <v>109.45</v>
      </c>
      <c r="G464" s="469">
        <f t="shared" ref="G464:L464" si="145">$J$25*(1+G466)</f>
        <v>120.39500000000001</v>
      </c>
      <c r="H464" s="469">
        <f t="shared" si="145"/>
        <v>131.34</v>
      </c>
      <c r="I464" s="469">
        <f t="shared" si="145"/>
        <v>142.285</v>
      </c>
      <c r="J464" s="469">
        <f t="shared" si="145"/>
        <v>153.22999999999999</v>
      </c>
      <c r="K464" s="469">
        <f t="shared" si="145"/>
        <v>164.17500000000001</v>
      </c>
      <c r="L464" s="469">
        <f t="shared" si="145"/>
        <v>175.12</v>
      </c>
      <c r="M464" s="192"/>
      <c r="N464" s="192"/>
      <c r="O464" s="192"/>
    </row>
    <row r="465" spans="1:15" x14ac:dyDescent="0.2">
      <c r="A465" s="192"/>
      <c r="B465" s="192"/>
      <c r="C465" s="192"/>
      <c r="D465" s="192"/>
      <c r="E465" s="192"/>
      <c r="F465" s="466" t="s">
        <v>474</v>
      </c>
      <c r="G465" s="467"/>
      <c r="H465" s="467"/>
      <c r="I465" s="467"/>
      <c r="J465" s="467"/>
      <c r="K465" s="467"/>
      <c r="L465" s="467"/>
      <c r="M465" s="192"/>
      <c r="N465" s="192"/>
      <c r="O465" s="192"/>
    </row>
    <row r="466" spans="1:15" x14ac:dyDescent="0.2">
      <c r="A466" s="192"/>
      <c r="B466" s="192"/>
      <c r="C466" s="192"/>
      <c r="D466" s="192"/>
      <c r="E466" s="470">
        <f ca="1">$J$381</f>
        <v>0.80610638301483639</v>
      </c>
      <c r="F466" s="471">
        <v>0</v>
      </c>
      <c r="G466" s="472">
        <f t="shared" ref="G466:L466" si="146">F466+10%</f>
        <v>0.1</v>
      </c>
      <c r="H466" s="472">
        <f t="shared" si="146"/>
        <v>0.2</v>
      </c>
      <c r="I466" s="472">
        <f t="shared" si="146"/>
        <v>0.30000000000000004</v>
      </c>
      <c r="J466" s="472">
        <f t="shared" si="146"/>
        <v>0.4</v>
      </c>
      <c r="K466" s="472">
        <f t="shared" si="146"/>
        <v>0.5</v>
      </c>
      <c r="L466" s="472">
        <f t="shared" si="146"/>
        <v>0.6</v>
      </c>
      <c r="M466" s="192"/>
      <c r="N466" s="192"/>
      <c r="O466" s="192"/>
    </row>
    <row r="467" spans="1:15" x14ac:dyDescent="0.2">
      <c r="A467" s="192"/>
      <c r="B467" s="192"/>
      <c r="C467" s="192"/>
      <c r="D467" s="641" t="s">
        <v>482</v>
      </c>
      <c r="E467" s="475">
        <f>E468-2%</f>
        <v>0.20000000000000004</v>
      </c>
      <c r="F467" s="478">
        <f t="dataTable" ref="F467:L475" dt2D="1" dtr="1" r1="J26" r2="F302" ca="1"/>
        <v>1.1234341470952445</v>
      </c>
      <c r="G467" s="478">
        <v>1.0667664959759926</v>
      </c>
      <c r="H467" s="478">
        <v>1.0108449605789414</v>
      </c>
      <c r="I467" s="478">
        <v>0.96853945240837835</v>
      </c>
      <c r="J467" s="478">
        <v>0.93780467054639105</v>
      </c>
      <c r="K467" s="478">
        <v>0.88724351665002832</v>
      </c>
      <c r="L467" s="478">
        <v>0.82130586681181827</v>
      </c>
      <c r="M467" s="192"/>
      <c r="N467" s="192"/>
      <c r="O467" s="192"/>
    </row>
    <row r="468" spans="1:15" x14ac:dyDescent="0.2">
      <c r="A468" s="192"/>
      <c r="B468" s="192"/>
      <c r="C468" s="192"/>
      <c r="D468" s="641"/>
      <c r="E468" s="475">
        <f>E469-2%</f>
        <v>0.22000000000000003</v>
      </c>
      <c r="F468" s="478">
        <v>1.0763837770010543</v>
      </c>
      <c r="G468" s="478">
        <v>1.0212747881417694</v>
      </c>
      <c r="H468" s="478">
        <v>0.96689139284793713</v>
      </c>
      <c r="I468" s="478">
        <v>0.92767385607018416</v>
      </c>
      <c r="J468" s="478">
        <v>0.90083316500618749</v>
      </c>
      <c r="K468" s="478">
        <v>0.85121235843285259</v>
      </c>
      <c r="L468" s="478">
        <v>0.78550582506579614</v>
      </c>
      <c r="M468" s="192"/>
      <c r="N468" s="192"/>
      <c r="O468" s="192"/>
    </row>
    <row r="469" spans="1:15" x14ac:dyDescent="0.2">
      <c r="A469" s="192"/>
      <c r="B469" s="192"/>
      <c r="C469" s="192"/>
      <c r="D469" s="641"/>
      <c r="E469" s="475">
        <f>E470-2%</f>
        <v>0.24000000000000002</v>
      </c>
      <c r="F469" s="478">
        <v>1.0294857269603057</v>
      </c>
      <c r="G469" s="478">
        <v>0.97592453987897942</v>
      </c>
      <c r="H469" s="478">
        <v>0.92306856720106645</v>
      </c>
      <c r="I469" s="478">
        <v>0.88698007000495604</v>
      </c>
      <c r="J469" s="478">
        <v>0.86402690452023856</v>
      </c>
      <c r="K469" s="478">
        <v>0.81518120021567708</v>
      </c>
      <c r="L469" s="478">
        <v>0.74970578331977444</v>
      </c>
      <c r="M469" s="192"/>
      <c r="N469" s="192"/>
      <c r="O469" s="192"/>
    </row>
    <row r="470" spans="1:15" x14ac:dyDescent="0.2">
      <c r="A470" s="192"/>
      <c r="B470" s="192"/>
      <c r="C470" s="192"/>
      <c r="D470" s="641"/>
      <c r="E470" s="475">
        <f>E471-2%</f>
        <v>0.26</v>
      </c>
      <c r="F470" s="478">
        <v>0.98273935868534357</v>
      </c>
      <c r="G470" s="478">
        <v>0.93071515991133691</v>
      </c>
      <c r="H470" s="478">
        <v>0.87937593875404185</v>
      </c>
      <c r="I470" s="478">
        <v>0.84645770750317506</v>
      </c>
      <c r="J470" s="478">
        <v>0.82738551715586872</v>
      </c>
      <c r="K470" s="478">
        <v>0.77915004199850135</v>
      </c>
      <c r="L470" s="478">
        <v>0.71390574157375231</v>
      </c>
      <c r="M470" s="192"/>
      <c r="N470" s="192"/>
      <c r="O470" s="192"/>
    </row>
    <row r="471" spans="1:15" x14ac:dyDescent="0.2">
      <c r="A471" s="192"/>
      <c r="B471" s="192"/>
      <c r="C471" s="192"/>
      <c r="D471" s="641"/>
      <c r="E471" s="473">
        <v>0.28000000000000003</v>
      </c>
      <c r="F471" s="478">
        <v>0.93614403682024605</v>
      </c>
      <c r="G471" s="478">
        <v>0.88564605967464394</v>
      </c>
      <c r="H471" s="478">
        <v>0.83581296511892</v>
      </c>
      <c r="I471" s="479">
        <v>0.80610638301498672</v>
      </c>
      <c r="J471" s="478">
        <v>0.79090863209604512</v>
      </c>
      <c r="K471" s="478">
        <v>0.74311888378132585</v>
      </c>
      <c r="L471" s="478">
        <v>0.67810569982773083</v>
      </c>
      <c r="M471" s="192"/>
      <c r="N471" s="192"/>
      <c r="O471" s="192"/>
    </row>
    <row r="472" spans="1:15" x14ac:dyDescent="0.2">
      <c r="A472" s="192"/>
      <c r="B472" s="192"/>
      <c r="C472" s="192"/>
      <c r="D472" s="641"/>
      <c r="E472" s="475">
        <f>E471+2%</f>
        <v>0.30000000000000004</v>
      </c>
      <c r="F472" s="478">
        <v>0.88969912892356173</v>
      </c>
      <c r="G472" s="478">
        <v>0.84071665330260059</v>
      </c>
      <c r="H472" s="478">
        <v>0.79237910639104192</v>
      </c>
      <c r="I472" s="478">
        <v>0.7659257121458648</v>
      </c>
      <c r="J472" s="478">
        <v>0.75459587963465402</v>
      </c>
      <c r="K472" s="478">
        <v>0.70708772556415045</v>
      </c>
      <c r="L472" s="478">
        <v>0.64230565808170836</v>
      </c>
      <c r="M472" s="192"/>
      <c r="N472" s="192"/>
      <c r="O472" s="192"/>
    </row>
    <row r="473" spans="1:15" x14ac:dyDescent="0.2">
      <c r="A473" s="192"/>
      <c r="B473" s="192"/>
      <c r="C473" s="192"/>
      <c r="D473" s="641"/>
      <c r="E473" s="475">
        <f>E472+2%</f>
        <v>0.32000000000000006</v>
      </c>
      <c r="F473" s="478">
        <v>0.84340400545420757</v>
      </c>
      <c r="G473" s="478">
        <v>0.79592635761005825</v>
      </c>
      <c r="H473" s="478">
        <v>0.74907382513344078</v>
      </c>
      <c r="I473" s="478">
        <v>0.72591531165202694</v>
      </c>
      <c r="J473" s="478">
        <v>0.71844689117268035</v>
      </c>
      <c r="K473" s="478">
        <v>0.67105656734697461</v>
      </c>
      <c r="L473" s="478">
        <v>0.60650561633568689</v>
      </c>
      <c r="M473" s="192"/>
      <c r="N473" s="192"/>
      <c r="O473" s="192"/>
    </row>
    <row r="474" spans="1:15" x14ac:dyDescent="0.2">
      <c r="A474" s="192"/>
      <c r="B474" s="192"/>
      <c r="C474" s="192"/>
      <c r="D474" s="641"/>
      <c r="E474" s="475">
        <f>E473+2%</f>
        <v>0.34000000000000008</v>
      </c>
      <c r="F474" s="478">
        <v>0.79725803975605092</v>
      </c>
      <c r="G474" s="478">
        <v>0.7512745920891305</v>
      </c>
      <c r="H474" s="478">
        <v>0.70589658637400599</v>
      </c>
      <c r="I474" s="478">
        <v>0.68607479943707717</v>
      </c>
      <c r="J474" s="478">
        <v>0.6824612992139768</v>
      </c>
      <c r="K474" s="478">
        <v>0.63502540912979921</v>
      </c>
      <c r="L474" s="478">
        <v>0.57070557458966487</v>
      </c>
      <c r="M474" s="192"/>
      <c r="N474" s="192"/>
      <c r="O474" s="192"/>
    </row>
    <row r="475" spans="1:15" x14ac:dyDescent="0.2">
      <c r="A475" s="192"/>
      <c r="B475" s="192"/>
      <c r="C475" s="192"/>
      <c r="D475" s="641"/>
      <c r="E475" s="475">
        <f>E474+2%</f>
        <v>0.3600000000000001</v>
      </c>
      <c r="F475" s="478">
        <v>0.75126060804283068</v>
      </c>
      <c r="G475" s="478">
        <v>0.7067607788800585</v>
      </c>
      <c r="H475" s="478">
        <v>0.66284685757756623</v>
      </c>
      <c r="I475" s="478">
        <v>0.6464037945463873</v>
      </c>
      <c r="J475" s="478">
        <v>0.64663873736116217</v>
      </c>
      <c r="K475" s="478">
        <v>0.59899425091262337</v>
      </c>
      <c r="L475" s="478">
        <v>0.53490553284364306</v>
      </c>
      <c r="M475" s="192"/>
      <c r="N475" s="192"/>
      <c r="O475" s="192"/>
    </row>
    <row r="476" spans="1:15" x14ac:dyDescent="0.2">
      <c r="A476" s="192"/>
      <c r="B476" s="192"/>
      <c r="C476" s="192"/>
      <c r="D476" s="192"/>
      <c r="E476" s="192"/>
      <c r="F476" s="192"/>
      <c r="G476" s="192"/>
      <c r="H476" s="192"/>
      <c r="I476" s="192"/>
      <c r="J476" s="192"/>
      <c r="K476" s="192"/>
      <c r="L476" s="192"/>
      <c r="M476" s="192"/>
      <c r="N476" s="192"/>
      <c r="O476" s="192"/>
    </row>
    <row r="477" spans="1:15" x14ac:dyDescent="0.2">
      <c r="A477" s="192"/>
      <c r="B477" s="192"/>
      <c r="C477" s="192"/>
      <c r="D477" s="449" t="s">
        <v>483</v>
      </c>
      <c r="E477" s="192"/>
      <c r="F477" s="192"/>
      <c r="G477" s="192"/>
      <c r="H477" s="192"/>
      <c r="I477" s="192"/>
      <c r="J477" s="192"/>
      <c r="K477" s="192"/>
      <c r="L477" s="192"/>
      <c r="M477" s="192"/>
      <c r="N477" s="192"/>
      <c r="O477" s="192"/>
    </row>
    <row r="478" spans="1:15" x14ac:dyDescent="0.2">
      <c r="A478" s="192"/>
      <c r="B478" s="192"/>
      <c r="C478" s="192"/>
      <c r="D478" s="192"/>
      <c r="E478" s="192"/>
      <c r="F478" s="192"/>
      <c r="G478" s="192"/>
      <c r="H478" s="192"/>
      <c r="I478" s="192"/>
      <c r="J478" s="192"/>
      <c r="K478" s="192"/>
      <c r="L478" s="192"/>
      <c r="M478" s="192"/>
      <c r="N478" s="192"/>
      <c r="O478" s="192"/>
    </row>
    <row r="479" spans="1:15" x14ac:dyDescent="0.2">
      <c r="A479" s="192"/>
      <c r="B479" s="192"/>
      <c r="C479" s="192"/>
      <c r="D479" s="192"/>
      <c r="E479" s="192"/>
      <c r="F479" s="466" t="s">
        <v>472</v>
      </c>
      <c r="G479" s="467"/>
      <c r="H479" s="467"/>
      <c r="I479" s="467"/>
      <c r="J479" s="467"/>
      <c r="K479" s="467"/>
      <c r="L479" s="467"/>
      <c r="M479" s="192"/>
      <c r="N479" s="192"/>
      <c r="O479" s="192"/>
    </row>
    <row r="480" spans="1:15" x14ac:dyDescent="0.2">
      <c r="A480" s="192"/>
      <c r="B480" s="192"/>
      <c r="C480" s="192"/>
      <c r="D480" s="192"/>
      <c r="E480" s="192"/>
      <c r="F480" s="468">
        <f t="shared" ref="F480:L480" si="147">((F482*$J$28)-$J$30+$J$31)/$G$138</f>
        <v>21.757341647230223</v>
      </c>
      <c r="G480" s="468">
        <f t="shared" si="147"/>
        <v>24.043734793837164</v>
      </c>
      <c r="H480" s="468">
        <f t="shared" si="147"/>
        <v>26.330127940444104</v>
      </c>
      <c r="I480" s="468">
        <f t="shared" si="147"/>
        <v>28.616521087051041</v>
      </c>
      <c r="J480" s="468">
        <f t="shared" si="147"/>
        <v>30.902914233657981</v>
      </c>
      <c r="K480" s="468">
        <f t="shared" si="147"/>
        <v>33.189307380264921</v>
      </c>
      <c r="L480" s="468">
        <f t="shared" si="147"/>
        <v>35.475700526871861</v>
      </c>
      <c r="M480" s="192"/>
      <c r="N480" s="192"/>
      <c r="O480" s="192"/>
    </row>
    <row r="481" spans="1:15" x14ac:dyDescent="0.2">
      <c r="A481" s="192"/>
      <c r="B481" s="192"/>
      <c r="C481" s="192"/>
      <c r="D481" s="192"/>
      <c r="E481" s="192"/>
      <c r="F481" s="466" t="s">
        <v>473</v>
      </c>
      <c r="G481" s="467"/>
      <c r="H481" s="467"/>
      <c r="I481" s="467"/>
      <c r="J481" s="467"/>
      <c r="K481" s="467"/>
      <c r="L481" s="467"/>
      <c r="M481" s="192"/>
      <c r="N481" s="192"/>
      <c r="O481" s="192"/>
    </row>
    <row r="482" spans="1:15" x14ac:dyDescent="0.2">
      <c r="A482" s="192"/>
      <c r="B482" s="192"/>
      <c r="C482" s="192"/>
      <c r="D482" s="192"/>
      <c r="E482" s="192"/>
      <c r="F482" s="469">
        <f>$J$25*(1+F484)</f>
        <v>109.45</v>
      </c>
      <c r="G482" s="469">
        <f t="shared" ref="G482:L482" si="148">$J$25*(1+G484)</f>
        <v>120.39500000000001</v>
      </c>
      <c r="H482" s="469">
        <f t="shared" si="148"/>
        <v>131.34</v>
      </c>
      <c r="I482" s="469">
        <f t="shared" si="148"/>
        <v>142.285</v>
      </c>
      <c r="J482" s="469">
        <f t="shared" si="148"/>
        <v>153.22999999999999</v>
      </c>
      <c r="K482" s="469">
        <f t="shared" si="148"/>
        <v>164.17500000000001</v>
      </c>
      <c r="L482" s="469">
        <f t="shared" si="148"/>
        <v>175.12</v>
      </c>
      <c r="M482" s="192"/>
      <c r="N482" s="192"/>
      <c r="O482" s="192"/>
    </row>
    <row r="483" spans="1:15" x14ac:dyDescent="0.2">
      <c r="A483" s="192"/>
      <c r="B483" s="192"/>
      <c r="C483" s="192"/>
      <c r="D483" s="192"/>
      <c r="E483" s="192"/>
      <c r="F483" s="466" t="s">
        <v>474</v>
      </c>
      <c r="G483" s="467"/>
      <c r="H483" s="467"/>
      <c r="I483" s="467"/>
      <c r="J483" s="467"/>
      <c r="K483" s="467"/>
      <c r="L483" s="467"/>
      <c r="M483" s="192"/>
      <c r="N483" s="192"/>
      <c r="O483" s="192"/>
    </row>
    <row r="484" spans="1:15" x14ac:dyDescent="0.2">
      <c r="A484" s="192"/>
      <c r="B484" s="192"/>
      <c r="C484" s="192"/>
      <c r="D484" s="192"/>
      <c r="E484" s="470">
        <f ca="1">$I$381</f>
        <v>0.2453961604209641</v>
      </c>
      <c r="F484" s="471">
        <v>0</v>
      </c>
      <c r="G484" s="472">
        <f t="shared" ref="G484:L484" si="149">F484+10%</f>
        <v>0.1</v>
      </c>
      <c r="H484" s="472">
        <f t="shared" si="149"/>
        <v>0.2</v>
      </c>
      <c r="I484" s="472">
        <f t="shared" si="149"/>
        <v>0.30000000000000004</v>
      </c>
      <c r="J484" s="472">
        <f t="shared" si="149"/>
        <v>0.4</v>
      </c>
      <c r="K484" s="472">
        <f t="shared" si="149"/>
        <v>0.5</v>
      </c>
      <c r="L484" s="472">
        <f t="shared" si="149"/>
        <v>0.6</v>
      </c>
      <c r="M484" s="192"/>
      <c r="N484" s="192"/>
      <c r="O484" s="192"/>
    </row>
    <row r="485" spans="1:15" x14ac:dyDescent="0.2">
      <c r="A485" s="192"/>
      <c r="B485" s="192"/>
      <c r="C485" s="192"/>
      <c r="D485" s="641" t="s">
        <v>475</v>
      </c>
      <c r="E485" s="473">
        <v>0</v>
      </c>
      <c r="F485" s="478">
        <f t="dataTable" ref="F485:L493" dt2D="1" dtr="1" r1="J26" r2="C25" ca="1"/>
        <v>-0.2505256400010708</v>
      </c>
      <c r="G485" s="478">
        <v>-0.41637830008518451</v>
      </c>
      <c r="H485" s="478">
        <v>-0.58095303978805024</v>
      </c>
      <c r="I485" s="478">
        <v>-0.74552777949091531</v>
      </c>
      <c r="J485" s="478">
        <v>-0.9101025191937816</v>
      </c>
      <c r="K485" s="478">
        <v>-1.0746772588966473</v>
      </c>
      <c r="L485" s="478">
        <v>-1.2392519985995134</v>
      </c>
      <c r="M485" s="192"/>
      <c r="N485" s="192"/>
      <c r="O485" s="192"/>
    </row>
    <row r="486" spans="1:15" x14ac:dyDescent="0.2">
      <c r="A486" s="192"/>
      <c r="B486" s="192"/>
      <c r="C486" s="192"/>
      <c r="D486" s="641"/>
      <c r="E486" s="475">
        <f t="shared" ref="E486:E493" si="150">E485+12.5%</f>
        <v>0.125</v>
      </c>
      <c r="F486" s="478">
        <v>-5.0471677130637542E-2</v>
      </c>
      <c r="G486" s="478">
        <v>-0.1963019899814506</v>
      </c>
      <c r="H486" s="478">
        <v>-0.34107804179458584</v>
      </c>
      <c r="I486" s="478">
        <v>-0.48255015081387032</v>
      </c>
      <c r="J486" s="478">
        <v>-0.62352493380707752</v>
      </c>
      <c r="K486" s="478">
        <v>-0.76400500859627429</v>
      </c>
      <c r="L486" s="478">
        <v>-0.90399297466280459</v>
      </c>
      <c r="M486" s="192"/>
      <c r="N486" s="192"/>
      <c r="O486" s="192"/>
    </row>
    <row r="487" spans="1:15" x14ac:dyDescent="0.2">
      <c r="A487" s="192"/>
      <c r="B487" s="192"/>
      <c r="C487" s="192"/>
      <c r="D487" s="641"/>
      <c r="E487" s="475">
        <f t="shared" si="150"/>
        <v>0.25</v>
      </c>
      <c r="F487" s="478">
        <v>0.14161079691278786</v>
      </c>
      <c r="G487" s="478">
        <v>1.6786663994514766E-2</v>
      </c>
      <c r="H487" s="478">
        <v>-0.10717733645143686</v>
      </c>
      <c r="I487" s="478">
        <v>-0.23029006434203872</v>
      </c>
      <c r="J487" s="478">
        <v>-0.35220260788937252</v>
      </c>
      <c r="K487" s="478">
        <v>-0.47087367491176979</v>
      </c>
      <c r="L487" s="478">
        <v>-0.58873812512619372</v>
      </c>
      <c r="M487" s="192"/>
      <c r="N487" s="192"/>
      <c r="O487" s="192"/>
    </row>
    <row r="488" spans="1:15" x14ac:dyDescent="0.2">
      <c r="A488" s="192"/>
      <c r="B488" s="192"/>
      <c r="C488" s="192"/>
      <c r="D488" s="641"/>
      <c r="E488" s="475">
        <f t="shared" si="150"/>
        <v>0.375</v>
      </c>
      <c r="F488" s="478">
        <v>0.32614324422256258</v>
      </c>
      <c r="G488" s="478">
        <v>0.22082107424575056</v>
      </c>
      <c r="H488" s="478">
        <v>0.11656268426665595</v>
      </c>
      <c r="I488" s="478">
        <v>1.3352038605346931E-2</v>
      </c>
      <c r="J488" s="478">
        <v>-8.8826577728477935E-2</v>
      </c>
      <c r="K488" s="478">
        <v>-0.18998856701224803</v>
      </c>
      <c r="L488" s="478">
        <v>-0.29014902655036623</v>
      </c>
      <c r="M488" s="192"/>
      <c r="N488" s="192"/>
      <c r="O488" s="192"/>
    </row>
    <row r="489" spans="1:15" x14ac:dyDescent="0.2">
      <c r="A489" s="192"/>
      <c r="B489" s="192"/>
      <c r="C489" s="192"/>
      <c r="D489" s="641"/>
      <c r="E489" s="475">
        <f t="shared" si="150"/>
        <v>0.5</v>
      </c>
      <c r="F489" s="478">
        <v>0.38733803295483271</v>
      </c>
      <c r="G489" s="478">
        <v>0.34858233203574068</v>
      </c>
      <c r="H489" s="478">
        <v>0.31033690880095077</v>
      </c>
      <c r="I489" s="479">
        <v>0.2453961604209641</v>
      </c>
      <c r="J489" s="478">
        <v>0.16157745436804541</v>
      </c>
      <c r="K489" s="478">
        <v>7.8840975184974765E-2</v>
      </c>
      <c r="L489" s="478">
        <v>-2.8341024750461129E-3</v>
      </c>
      <c r="M489" s="192"/>
      <c r="N489" s="192"/>
      <c r="O489" s="192"/>
    </row>
    <row r="490" spans="1:15" x14ac:dyDescent="0.2">
      <c r="A490" s="192"/>
      <c r="B490" s="192"/>
      <c r="C490" s="192"/>
      <c r="D490" s="641"/>
      <c r="E490" s="475">
        <f t="shared" si="150"/>
        <v>0.625</v>
      </c>
      <c r="F490" s="478">
        <v>0.47787969067412062</v>
      </c>
      <c r="G490" s="478">
        <v>0.42668888349549111</v>
      </c>
      <c r="H490" s="478">
        <v>0.37632219441614634</v>
      </c>
      <c r="I490" s="478">
        <v>0.34074144011897067</v>
      </c>
      <c r="J490" s="478">
        <v>0.30891671594805198</v>
      </c>
      <c r="K490" s="478">
        <v>0.27759225574477736</v>
      </c>
      <c r="L490" s="478">
        <v>0.24675635576044874</v>
      </c>
      <c r="M490" s="192"/>
      <c r="N490" s="192"/>
      <c r="O490" s="192"/>
    </row>
    <row r="491" spans="1:15" x14ac:dyDescent="0.2">
      <c r="A491" s="192"/>
      <c r="B491" s="192"/>
      <c r="C491" s="192"/>
      <c r="D491" s="641"/>
      <c r="E491" s="475">
        <f t="shared" si="150"/>
        <v>0.75</v>
      </c>
      <c r="F491" s="478">
        <v>0.58625876331719395</v>
      </c>
      <c r="G491" s="478">
        <v>0.54551051133557216</v>
      </c>
      <c r="H491" s="478">
        <v>0.50553265018126425</v>
      </c>
      <c r="I491" s="478">
        <v>0.4663035368138243</v>
      </c>
      <c r="J491" s="478">
        <v>0.42780233137433349</v>
      </c>
      <c r="K491" s="478">
        <v>0.39000896027463811</v>
      </c>
      <c r="L491" s="478">
        <v>0.35290408129861861</v>
      </c>
      <c r="M491" s="192"/>
      <c r="N491" s="192"/>
      <c r="O491" s="192"/>
    </row>
    <row r="492" spans="1:15" x14ac:dyDescent="0.2">
      <c r="A492" s="192"/>
      <c r="B492" s="192"/>
      <c r="C492" s="192"/>
      <c r="D492" s="641"/>
      <c r="E492" s="475">
        <f t="shared" si="150"/>
        <v>0.875</v>
      </c>
      <c r="F492" s="478">
        <v>0.64141391070660547</v>
      </c>
      <c r="G492" s="478">
        <v>0.62081307701054977</v>
      </c>
      <c r="H492" s="478">
        <v>0.59945783404819231</v>
      </c>
      <c r="I492" s="478">
        <v>0.57561873400643371</v>
      </c>
      <c r="J492" s="478">
        <v>0.55155481471955858</v>
      </c>
      <c r="K492" s="478">
        <v>0.52754358235883136</v>
      </c>
      <c r="L492" s="478">
        <v>0.50402942372300652</v>
      </c>
      <c r="M492" s="192"/>
      <c r="N492" s="192"/>
      <c r="O492" s="192"/>
    </row>
    <row r="493" spans="1:15" x14ac:dyDescent="0.2">
      <c r="A493" s="192"/>
      <c r="B493" s="192"/>
      <c r="C493" s="192"/>
      <c r="D493" s="641"/>
      <c r="E493" s="475">
        <f t="shared" si="150"/>
        <v>1</v>
      </c>
      <c r="F493" s="478">
        <v>0.6357915103081444</v>
      </c>
      <c r="G493" s="478">
        <v>0.61577660476915641</v>
      </c>
      <c r="H493" s="478">
        <v>0.59624556792387684</v>
      </c>
      <c r="I493" s="478">
        <v>0.57718106274584335</v>
      </c>
      <c r="J493" s="478">
        <v>0.55856657068137305</v>
      </c>
      <c r="K493" s="478">
        <v>0.54038634391332341</v>
      </c>
      <c r="L493" s="478">
        <v>0.52262536092730982</v>
      </c>
      <c r="M493" s="192"/>
      <c r="N493" s="192"/>
      <c r="O493" s="192"/>
    </row>
    <row r="494" spans="1:15" x14ac:dyDescent="0.2">
      <c r="A494" s="192"/>
      <c r="B494" s="192"/>
      <c r="C494" s="192"/>
      <c r="D494" s="192"/>
      <c r="E494" s="192"/>
      <c r="F494" s="192"/>
      <c r="G494" s="192"/>
      <c r="H494" s="192"/>
      <c r="I494" s="192"/>
      <c r="J494" s="192"/>
      <c r="K494" s="192"/>
      <c r="L494" s="192"/>
      <c r="M494" s="192"/>
      <c r="N494" s="192"/>
      <c r="O494" s="192"/>
    </row>
    <row r="495" spans="1:15" x14ac:dyDescent="0.2">
      <c r="A495" s="192"/>
      <c r="B495" s="192"/>
      <c r="C495" s="192"/>
      <c r="D495" s="449" t="s">
        <v>484</v>
      </c>
      <c r="E495" s="192"/>
      <c r="F495" s="192"/>
      <c r="G495" s="192"/>
      <c r="H495" s="192"/>
      <c r="I495" s="192"/>
      <c r="J495" s="192"/>
      <c r="K495" s="192"/>
      <c r="L495" s="192"/>
      <c r="M495" s="192"/>
      <c r="N495" s="192"/>
      <c r="O495" s="192"/>
    </row>
    <row r="496" spans="1:15" x14ac:dyDescent="0.2">
      <c r="A496" s="192"/>
      <c r="B496" s="192"/>
      <c r="C496" s="192"/>
      <c r="D496" s="192"/>
      <c r="E496" s="192"/>
      <c r="F496" s="192"/>
      <c r="G496" s="192"/>
      <c r="H496" s="192"/>
      <c r="I496" s="192"/>
      <c r="J496" s="192"/>
      <c r="K496" s="192"/>
      <c r="L496" s="192"/>
      <c r="M496" s="192"/>
      <c r="N496" s="192"/>
      <c r="O496" s="192"/>
    </row>
    <row r="497" spans="1:15" x14ac:dyDescent="0.2">
      <c r="A497" s="192"/>
      <c r="B497" s="192"/>
      <c r="C497" s="192"/>
      <c r="D497" s="192"/>
      <c r="E497" s="192"/>
      <c r="F497" s="466" t="s">
        <v>472</v>
      </c>
      <c r="G497" s="467"/>
      <c r="H497" s="467"/>
      <c r="I497" s="467"/>
      <c r="J497" s="467"/>
      <c r="K497" s="467"/>
      <c r="L497" s="467"/>
      <c r="M497" s="192"/>
      <c r="N497" s="192"/>
      <c r="O497" s="192"/>
    </row>
    <row r="498" spans="1:15" x14ac:dyDescent="0.2">
      <c r="A498" s="192"/>
      <c r="B498" s="192"/>
      <c r="C498" s="192"/>
      <c r="D498" s="192"/>
      <c r="E498" s="192"/>
      <c r="F498" s="468">
        <f t="shared" ref="F498:L498" si="151">((F500*$J$28)-$J$30+$J$31)/$G$138</f>
        <v>21.757341647230223</v>
      </c>
      <c r="G498" s="468">
        <f t="shared" si="151"/>
        <v>24.043734793837164</v>
      </c>
      <c r="H498" s="468">
        <f t="shared" si="151"/>
        <v>26.330127940444104</v>
      </c>
      <c r="I498" s="468">
        <f t="shared" si="151"/>
        <v>28.616521087051041</v>
      </c>
      <c r="J498" s="468">
        <f t="shared" si="151"/>
        <v>30.902914233657981</v>
      </c>
      <c r="K498" s="468">
        <f t="shared" si="151"/>
        <v>33.189307380264921</v>
      </c>
      <c r="L498" s="468">
        <f t="shared" si="151"/>
        <v>35.475700526871861</v>
      </c>
      <c r="M498" s="192"/>
      <c r="N498" s="192"/>
      <c r="O498" s="192"/>
    </row>
    <row r="499" spans="1:15" x14ac:dyDescent="0.2">
      <c r="A499" s="192"/>
      <c r="B499" s="192"/>
      <c r="C499" s="192"/>
      <c r="D499" s="192"/>
      <c r="E499" s="192"/>
      <c r="F499" s="466" t="s">
        <v>473</v>
      </c>
      <c r="G499" s="467"/>
      <c r="H499" s="467"/>
      <c r="I499" s="467"/>
      <c r="J499" s="467"/>
      <c r="K499" s="467"/>
      <c r="L499" s="467"/>
      <c r="M499" s="192"/>
      <c r="N499" s="192"/>
      <c r="O499" s="192"/>
    </row>
    <row r="500" spans="1:15" x14ac:dyDescent="0.2">
      <c r="A500" s="192"/>
      <c r="B500" s="192"/>
      <c r="C500" s="192"/>
      <c r="D500" s="192"/>
      <c r="E500" s="192"/>
      <c r="F500" s="469">
        <f>$J$25*(1+F502)</f>
        <v>109.45</v>
      </c>
      <c r="G500" s="469">
        <f t="shared" ref="G500:L500" si="152">$J$25*(1+G502)</f>
        <v>120.39500000000001</v>
      </c>
      <c r="H500" s="469">
        <f t="shared" si="152"/>
        <v>131.34</v>
      </c>
      <c r="I500" s="469">
        <f t="shared" si="152"/>
        <v>142.285</v>
      </c>
      <c r="J500" s="469">
        <f t="shared" si="152"/>
        <v>153.22999999999999</v>
      </c>
      <c r="K500" s="469">
        <f t="shared" si="152"/>
        <v>164.17500000000001</v>
      </c>
      <c r="L500" s="469">
        <f t="shared" si="152"/>
        <v>175.12</v>
      </c>
      <c r="M500" s="192"/>
      <c r="N500" s="192"/>
      <c r="O500" s="192"/>
    </row>
    <row r="501" spans="1:15" x14ac:dyDescent="0.2">
      <c r="A501" s="192"/>
      <c r="B501" s="192"/>
      <c r="C501" s="192"/>
      <c r="D501" s="192"/>
      <c r="E501" s="192"/>
      <c r="F501" s="466" t="s">
        <v>474</v>
      </c>
      <c r="G501" s="467"/>
      <c r="H501" s="467"/>
      <c r="I501" s="467"/>
      <c r="J501" s="467"/>
      <c r="K501" s="467"/>
      <c r="L501" s="467"/>
      <c r="M501" s="192"/>
      <c r="N501" s="192"/>
      <c r="O501" s="192"/>
    </row>
    <row r="502" spans="1:15" x14ac:dyDescent="0.2">
      <c r="A502" s="192"/>
      <c r="B502" s="192"/>
      <c r="C502" s="192"/>
      <c r="D502" s="192"/>
      <c r="E502" s="470">
        <f ca="1">$H$381</f>
        <v>-0.71457559062522691</v>
      </c>
      <c r="F502" s="471">
        <v>0</v>
      </c>
      <c r="G502" s="472">
        <f t="shared" ref="G502:L502" si="153">F502+10%</f>
        <v>0.1</v>
      </c>
      <c r="H502" s="472">
        <f t="shared" si="153"/>
        <v>0.2</v>
      </c>
      <c r="I502" s="472">
        <f t="shared" si="153"/>
        <v>0.30000000000000004</v>
      </c>
      <c r="J502" s="472">
        <f t="shared" si="153"/>
        <v>0.4</v>
      </c>
      <c r="K502" s="472">
        <f t="shared" si="153"/>
        <v>0.5</v>
      </c>
      <c r="L502" s="472">
        <f t="shared" si="153"/>
        <v>0.6</v>
      </c>
      <c r="M502" s="192"/>
      <c r="N502" s="192"/>
      <c r="O502" s="192"/>
    </row>
    <row r="503" spans="1:15" x14ac:dyDescent="0.2">
      <c r="A503" s="192"/>
      <c r="B503" s="192"/>
      <c r="C503" s="192"/>
      <c r="D503" s="641" t="s">
        <v>475</v>
      </c>
      <c r="E503" s="473">
        <v>0</v>
      </c>
      <c r="F503" s="478">
        <f t="dataTable" ref="F503:L511" dt2D="1" dtr="1" r1="J26" r2="C25" ca="1"/>
        <v>-1.608200226948252</v>
      </c>
      <c r="G503" s="478">
        <v>-1.8589272237597174</v>
      </c>
      <c r="H503" s="478">
        <v>-2.1096542205711826</v>
      </c>
      <c r="I503" s="478">
        <v>-2.3603812173826477</v>
      </c>
      <c r="J503" s="478">
        <v>-2.6111082141941129</v>
      </c>
      <c r="K503" s="478">
        <v>-2.8618352110055798</v>
      </c>
      <c r="L503" s="478">
        <v>-3.1125622078170441</v>
      </c>
      <c r="M503" s="192"/>
      <c r="N503" s="192"/>
      <c r="O503" s="192"/>
    </row>
    <row r="504" spans="1:15" x14ac:dyDescent="0.2">
      <c r="A504" s="192"/>
      <c r="B504" s="192"/>
      <c r="C504" s="192"/>
      <c r="D504" s="641"/>
      <c r="E504" s="475">
        <f t="shared" ref="E504:E511" si="154">E503+12.5%</f>
        <v>0.125</v>
      </c>
      <c r="F504" s="478">
        <v>-1.2767567522935255</v>
      </c>
      <c r="G504" s="478">
        <v>-1.4927230229523685</v>
      </c>
      <c r="H504" s="478">
        <v>-1.7067600913122041</v>
      </c>
      <c r="I504" s="478">
        <v>-1.9192785822968026</v>
      </c>
      <c r="J504" s="478">
        <v>-2.1310499933281735</v>
      </c>
      <c r="K504" s="478">
        <v>-2.3420782568817624</v>
      </c>
      <c r="L504" s="478">
        <v>-2.5523672778817024</v>
      </c>
      <c r="M504" s="192"/>
      <c r="N504" s="192"/>
      <c r="O504" s="192"/>
    </row>
    <row r="505" spans="1:15" x14ac:dyDescent="0.2">
      <c r="A505" s="192"/>
      <c r="B505" s="192"/>
      <c r="C505" s="192"/>
      <c r="D505" s="641"/>
      <c r="E505" s="475">
        <f t="shared" si="154"/>
        <v>0.25</v>
      </c>
      <c r="F505" s="478">
        <v>-0.9584455032227045</v>
      </c>
      <c r="G505" s="478">
        <v>-1.1400950255981943</v>
      </c>
      <c r="H505" s="478">
        <v>-1.3204928456856402</v>
      </c>
      <c r="I505" s="478">
        <v>-1.499651856822642</v>
      </c>
      <c r="J505" s="478">
        <v>-1.6765465021165207</v>
      </c>
      <c r="K505" s="478">
        <v>-1.8516673849522485</v>
      </c>
      <c r="L505" s="478">
        <v>-2.0255979570318092</v>
      </c>
      <c r="M505" s="192"/>
      <c r="N505" s="192"/>
      <c r="O505" s="192"/>
    </row>
    <row r="506" spans="1:15" x14ac:dyDescent="0.2">
      <c r="A506" s="192"/>
      <c r="B506" s="192"/>
      <c r="C506" s="192"/>
      <c r="D506" s="641"/>
      <c r="E506" s="475">
        <f t="shared" si="154"/>
        <v>0.375</v>
      </c>
      <c r="F506" s="478">
        <v>-0.65264585080886495</v>
      </c>
      <c r="G506" s="478">
        <v>-0.80245036861730912</v>
      </c>
      <c r="H506" s="478">
        <v>-0.95074182369976301</v>
      </c>
      <c r="I506" s="478">
        <v>-1.0975430243339184</v>
      </c>
      <c r="J506" s="478">
        <v>-1.242876322666004</v>
      </c>
      <c r="K506" s="478">
        <v>-1.3867636260564926</v>
      </c>
      <c r="L506" s="478">
        <v>-1.5292264080888358</v>
      </c>
      <c r="M506" s="192"/>
      <c r="N506" s="192"/>
      <c r="O506" s="192"/>
    </row>
    <row r="507" spans="1:15" x14ac:dyDescent="0.2">
      <c r="A507" s="192"/>
      <c r="B507" s="192"/>
      <c r="C507" s="192"/>
      <c r="D507" s="641"/>
      <c r="E507" s="475">
        <f t="shared" si="154"/>
        <v>0.5</v>
      </c>
      <c r="F507" s="478">
        <v>-0.35863433874847245</v>
      </c>
      <c r="G507" s="478">
        <v>-0.47885394414567367</v>
      </c>
      <c r="H507" s="478">
        <v>-0.59749067578765536</v>
      </c>
      <c r="I507" s="479">
        <v>-0.71457559062522691</v>
      </c>
      <c r="J507" s="478">
        <v>-0.83013893841327524</v>
      </c>
      <c r="K507" s="478">
        <v>-0.94421018776607768</v>
      </c>
      <c r="L507" s="478">
        <v>-1.0568180512098511</v>
      </c>
      <c r="M507" s="192"/>
      <c r="N507" s="192"/>
      <c r="O507" s="192"/>
    </row>
    <row r="508" spans="1:15" x14ac:dyDescent="0.2">
      <c r="A508" s="192"/>
      <c r="B508" s="192"/>
      <c r="C508" s="192"/>
      <c r="D508" s="641"/>
      <c r="E508" s="475">
        <f t="shared" si="154"/>
        <v>0.625</v>
      </c>
      <c r="F508" s="478">
        <v>-0.1304115461077133</v>
      </c>
      <c r="G508" s="478">
        <v>-0.19787899736146813</v>
      </c>
      <c r="H508" s="478">
        <v>-0.26426029368332005</v>
      </c>
      <c r="I508" s="478">
        <v>-0.34941456165793633</v>
      </c>
      <c r="J508" s="478">
        <v>-0.43774798417772159</v>
      </c>
      <c r="K508" s="478">
        <v>-0.52469286274067439</v>
      </c>
      <c r="L508" s="478">
        <v>-0.61028168253577231</v>
      </c>
      <c r="M508" s="192"/>
      <c r="N508" s="192"/>
      <c r="O508" s="192"/>
    </row>
    <row r="509" spans="1:15" x14ac:dyDescent="0.2">
      <c r="A509" s="192"/>
      <c r="B509" s="192"/>
      <c r="C509" s="192"/>
      <c r="D509" s="641"/>
      <c r="E509" s="475">
        <f t="shared" si="154"/>
        <v>0.75</v>
      </c>
      <c r="F509" s="478">
        <v>5.9270201708494563E-2</v>
      </c>
      <c r="G509" s="478">
        <v>9.6917199284124057E-3</v>
      </c>
      <c r="H509" s="478">
        <v>-3.8949425746720688E-2</v>
      </c>
      <c r="I509" s="478">
        <v>-8.6679568454028327E-2</v>
      </c>
      <c r="J509" s="478">
        <v>-0.13352406409219625</v>
      </c>
      <c r="K509" s="478">
        <v>-0.17950733623711002</v>
      </c>
      <c r="L509" s="478">
        <v>-0.22465291860280043</v>
      </c>
      <c r="M509" s="192"/>
      <c r="N509" s="192"/>
      <c r="O509" s="192"/>
    </row>
    <row r="510" spans="1:15" x14ac:dyDescent="0.2">
      <c r="A510" s="192"/>
      <c r="B510" s="192"/>
      <c r="C510" s="192"/>
      <c r="D510" s="641"/>
      <c r="E510" s="475">
        <f t="shared" si="154"/>
        <v>0.875</v>
      </c>
      <c r="F510" s="478">
        <v>0.22905006650654389</v>
      </c>
      <c r="G510" s="478">
        <v>0.20378811631379493</v>
      </c>
      <c r="H510" s="478">
        <v>0.17693788554161469</v>
      </c>
      <c r="I510" s="478">
        <v>0.14543017284883555</v>
      </c>
      <c r="J510" s="478">
        <v>0.11458851231433434</v>
      </c>
      <c r="K510" s="478">
        <v>8.4392004981585084E-2</v>
      </c>
      <c r="L510" s="478">
        <v>5.4820617182620358E-2</v>
      </c>
      <c r="M510" s="192"/>
      <c r="N510" s="192"/>
      <c r="O510" s="192"/>
    </row>
    <row r="511" spans="1:15" x14ac:dyDescent="0.2">
      <c r="A511" s="228" t="s">
        <v>183</v>
      </c>
      <c r="B511" s="192"/>
      <c r="C511" s="192"/>
      <c r="D511" s="641"/>
      <c r="E511" s="475">
        <f t="shared" si="154"/>
        <v>1</v>
      </c>
      <c r="F511" s="478">
        <v>0.32001438749292554</v>
      </c>
      <c r="G511" s="478">
        <v>0.30386320740103312</v>
      </c>
      <c r="H511" s="478">
        <v>0.28810248882781653</v>
      </c>
      <c r="I511" s="478">
        <v>0.27271824152805091</v>
      </c>
      <c r="J511" s="478">
        <v>0.25769713572933883</v>
      </c>
      <c r="K511" s="478">
        <v>0.2430264636109899</v>
      </c>
      <c r="L511" s="478">
        <v>0.22869410344784261</v>
      </c>
      <c r="M511" s="192"/>
      <c r="N511" s="192"/>
      <c r="O511" s="192"/>
    </row>
  </sheetData>
  <mergeCells count="8">
    <mergeCell ref="C436:C444"/>
    <mergeCell ref="D449:D457"/>
    <mergeCell ref="D467:D475"/>
    <mergeCell ref="D485:D493"/>
    <mergeCell ref="D503:D511"/>
    <mergeCell ref="D395:D403"/>
    <mergeCell ref="D413:D421"/>
    <mergeCell ref="D431:D439"/>
  </mergeCells>
  <conditionalFormatting sqref="C41:D45 E46:J46 F41:J41 F43:J45 D70:E70 J70:L70 D71:L71 D73:L73 D72:E72 G72:L72 D74:E74 D76:E76 J76:L76 J74:L74 D75:L75 D77:L77 E275:L287 C81:C113 F81:L113 D81:D111 E274:F274 G237:L247 F288:L288 E289:L291 H199:L219">
    <cfRule type="cellIs" dxfId="62" priority="41" operator="equal">
      <formula>0</formula>
    </cfRule>
  </conditionalFormatting>
  <conditionalFormatting sqref="H234">
    <cfRule type="cellIs" dxfId="61" priority="40" operator="equal">
      <formula>1</formula>
    </cfRule>
  </conditionalFormatting>
  <conditionalFormatting sqref="H294:L341">
    <cfRule type="cellIs" dxfId="60" priority="39" operator="equal">
      <formula>0</formula>
    </cfRule>
  </conditionalFormatting>
  <conditionalFormatting sqref="G250:L269">
    <cfRule type="cellIs" dxfId="59" priority="38" operator="equal">
      <formula>0</formula>
    </cfRule>
  </conditionalFormatting>
  <conditionalFormatting sqref="D59:L59 D60:E61 G60:L61 D69:E69 J69:L69 D62:L68 D52:L53 D55:L57 D54:E54 G54:L54">
    <cfRule type="cellIs" dxfId="58" priority="37" operator="equal">
      <formula>0</formula>
    </cfRule>
  </conditionalFormatting>
  <conditionalFormatting sqref="H224:L227">
    <cfRule type="cellIs" dxfId="57" priority="36" operator="equal">
      <formula>0</formula>
    </cfRule>
  </conditionalFormatting>
  <conditionalFormatting sqref="H227:L227">
    <cfRule type="cellIs" dxfId="56" priority="35" operator="equal">
      <formula>0</formula>
    </cfRule>
  </conditionalFormatting>
  <conditionalFormatting sqref="E230:L232 E238 E244 E233:H233">
    <cfRule type="cellIs" dxfId="55" priority="34" operator="equal">
      <formula>0</formula>
    </cfRule>
  </conditionalFormatting>
  <conditionalFormatting sqref="D113">
    <cfRule type="cellIs" dxfId="54" priority="33" operator="equal">
      <formula>0</formula>
    </cfRule>
  </conditionalFormatting>
  <conditionalFormatting sqref="E137:L137">
    <cfRule type="cellIs" dxfId="53" priority="22" operator="equal">
      <formula>0</formula>
    </cfRule>
  </conditionalFormatting>
  <conditionalFormatting sqref="E138:L138">
    <cfRule type="cellIs" dxfId="52" priority="21" operator="equal">
      <formula>0</formula>
    </cfRule>
  </conditionalFormatting>
  <conditionalFormatting sqref="E157:L161">
    <cfRule type="cellIs" dxfId="51" priority="32" operator="equal">
      <formula>0</formula>
    </cfRule>
  </conditionalFormatting>
  <conditionalFormatting sqref="E152:G156">
    <cfRule type="cellIs" dxfId="50" priority="31" operator="equal">
      <formula>0</formula>
    </cfRule>
  </conditionalFormatting>
  <conditionalFormatting sqref="E117:L117">
    <cfRule type="cellIs" dxfId="49" priority="30" operator="equal">
      <formula>0</formula>
    </cfRule>
  </conditionalFormatting>
  <conditionalFormatting sqref="E118:L118">
    <cfRule type="cellIs" dxfId="48" priority="29" operator="equal">
      <formula>0</formula>
    </cfRule>
  </conditionalFormatting>
  <conditionalFormatting sqref="E122:L122">
    <cfRule type="cellIs" dxfId="47" priority="28" operator="equal">
      <formula>0</formula>
    </cfRule>
  </conditionalFormatting>
  <conditionalFormatting sqref="E123:L123">
    <cfRule type="cellIs" dxfId="46" priority="27" operator="equal">
      <formula>0</formula>
    </cfRule>
  </conditionalFormatting>
  <conditionalFormatting sqref="E127:L127">
    <cfRule type="cellIs" dxfId="45" priority="26" operator="equal">
      <formula>0</formula>
    </cfRule>
  </conditionalFormatting>
  <conditionalFormatting sqref="E128:L128">
    <cfRule type="cellIs" dxfId="44" priority="25" operator="equal">
      <formula>0</formula>
    </cfRule>
  </conditionalFormatting>
  <conditionalFormatting sqref="E132:L132">
    <cfRule type="cellIs" dxfId="43" priority="24" operator="equal">
      <formula>0</formula>
    </cfRule>
  </conditionalFormatting>
  <conditionalFormatting sqref="E133:L133">
    <cfRule type="cellIs" dxfId="42" priority="23" operator="equal">
      <formula>0</formula>
    </cfRule>
  </conditionalFormatting>
  <conditionalFormatting sqref="H42">
    <cfRule type="cellIs" dxfId="41" priority="20" operator="equal">
      <formula>0</formula>
    </cfRule>
  </conditionalFormatting>
  <conditionalFormatting sqref="J42">
    <cfRule type="cellIs" dxfId="40" priority="19" operator="equal">
      <formula>0</formula>
    </cfRule>
  </conditionalFormatting>
  <conditionalFormatting sqref="I42">
    <cfRule type="cellIs" dxfId="39" priority="18" operator="equal">
      <formula>0</formula>
    </cfRule>
  </conditionalFormatting>
  <conditionalFormatting sqref="C62">
    <cfRule type="cellIs" dxfId="38" priority="17" operator="equal">
      <formula>0</formula>
    </cfRule>
  </conditionalFormatting>
  <conditionalFormatting sqref="C64">
    <cfRule type="cellIs" dxfId="37" priority="16" operator="equal">
      <formula>0</formula>
    </cfRule>
  </conditionalFormatting>
  <conditionalFormatting sqref="C66">
    <cfRule type="cellIs" dxfId="36" priority="15" operator="equal">
      <formula>0</formula>
    </cfRule>
  </conditionalFormatting>
  <conditionalFormatting sqref="C67">
    <cfRule type="cellIs" dxfId="35" priority="14" operator="equal">
      <formula>0</formula>
    </cfRule>
  </conditionalFormatting>
  <conditionalFormatting sqref="C70">
    <cfRule type="cellIs" dxfId="34" priority="13" operator="equal">
      <formula>0</formula>
    </cfRule>
  </conditionalFormatting>
  <conditionalFormatting sqref="C72">
    <cfRule type="cellIs" dxfId="33" priority="12" operator="equal">
      <formula>0</formula>
    </cfRule>
  </conditionalFormatting>
  <conditionalFormatting sqref="C74">
    <cfRule type="cellIs" dxfId="32" priority="11" operator="equal">
      <formula>0</formula>
    </cfRule>
  </conditionalFormatting>
  <conditionalFormatting sqref="G69:I69">
    <cfRule type="cellIs" dxfId="31" priority="9" operator="equal">
      <formula>0</formula>
    </cfRule>
  </conditionalFormatting>
  <conditionalFormatting sqref="C75">
    <cfRule type="cellIs" dxfId="30" priority="10" operator="equal">
      <formula>0</formula>
    </cfRule>
  </conditionalFormatting>
  <conditionalFormatting sqref="I70">
    <cfRule type="cellIs" dxfId="29" priority="8" operator="equal">
      <formula>0</formula>
    </cfRule>
  </conditionalFormatting>
  <conditionalFormatting sqref="F72">
    <cfRule type="cellIs" dxfId="28" priority="7" operator="equal">
      <formula>0</formula>
    </cfRule>
  </conditionalFormatting>
  <conditionalFormatting sqref="G76:I76">
    <cfRule type="cellIs" dxfId="27" priority="6" operator="equal">
      <formula>0</formula>
    </cfRule>
  </conditionalFormatting>
  <conditionalFormatting sqref="F76">
    <cfRule type="cellIs" dxfId="26" priority="5" operator="equal">
      <formula>0</formula>
    </cfRule>
  </conditionalFormatting>
  <conditionalFormatting sqref="I234:L234">
    <cfRule type="cellIs" dxfId="25" priority="4" operator="equal">
      <formula>1</formula>
    </cfRule>
  </conditionalFormatting>
  <conditionalFormatting sqref="I233:L233">
    <cfRule type="cellIs" dxfId="24" priority="3" operator="equal">
      <formula>0</formula>
    </cfRule>
  </conditionalFormatting>
  <conditionalFormatting sqref="E288">
    <cfRule type="cellIs" dxfId="23" priority="2" operator="equal">
      <formula>0</formula>
    </cfRule>
  </conditionalFormatting>
  <conditionalFormatting sqref="H274:L274">
    <cfRule type="cellIs" dxfId="22" priority="1" operator="equal">
      <formula>0</formula>
    </cfRule>
  </conditionalFormatting>
  <dataValidations count="3">
    <dataValidation type="list" allowBlank="1" showInputMessage="1" showErrorMessage="1" sqref="C27" xr:uid="{B081F238-C197-4533-B272-827B452ACA07}">
      <formula1>$N$3:$N$4</formula1>
    </dataValidation>
    <dataValidation type="list" allowBlank="1" showInputMessage="1" showErrorMessage="1" sqref="C12" xr:uid="{0F920FC8-1019-469B-894D-E06B1FB7CB75}">
      <formula1>$D$165:$D$167</formula1>
    </dataValidation>
    <dataValidation type="list" allowBlank="1" showInputMessage="1" showErrorMessage="1" sqref="E326" xr:uid="{98FC16AD-89A1-4E44-A974-D4D6DE7DF65D}">
      <formula1>"1,0"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0" r:id="rId3" name="Button 40">
              <controlPr defaultSize="0" print="0" autoFill="0" autoPict="0" macro="[0]!circularity_break">
                <anchor moveWithCells="1" sizeWithCells="1">
                  <from>
                    <xdr:col>2</xdr:col>
                    <xdr:colOff>1270000</xdr:colOff>
                    <xdr:row>9</xdr:row>
                    <xdr:rowOff>177800</xdr:rowOff>
                  </from>
                  <to>
                    <xdr:col>2</xdr:col>
                    <xdr:colOff>1714500</xdr:colOff>
                    <xdr:row>10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6DE3-DC9F-4772-8AB9-004C0DE8DDE6}">
  <dimension ref="B2:J86"/>
  <sheetViews>
    <sheetView showGridLines="0" workbookViewId="0">
      <selection activeCell="B38" sqref="B38"/>
    </sheetView>
  </sheetViews>
  <sheetFormatPr baseColWidth="10" defaultColWidth="8.83203125" defaultRowHeight="15" x14ac:dyDescent="0.2"/>
  <cols>
    <col min="2" max="2" width="38.5" customWidth="1"/>
    <col min="3" max="3" width="14.33203125" bestFit="1" customWidth="1"/>
    <col min="4" max="5" width="13.5" bestFit="1" customWidth="1"/>
    <col min="7" max="7" width="11" customWidth="1"/>
    <col min="8" max="8" width="12.6640625" customWidth="1"/>
    <col min="9" max="9" width="12.5" customWidth="1"/>
    <col min="10" max="10" width="13.5" bestFit="1" customWidth="1"/>
  </cols>
  <sheetData>
    <row r="2" spans="2:10" ht="19" x14ac:dyDescent="0.2">
      <c r="B2" s="193" t="s">
        <v>485</v>
      </c>
      <c r="C2" s="599"/>
      <c r="D2" s="599"/>
      <c r="E2" s="599"/>
      <c r="F2" s="599"/>
      <c r="G2" s="599"/>
      <c r="H2" s="598"/>
      <c r="I2" s="598"/>
      <c r="J2" s="598"/>
    </row>
    <row r="3" spans="2:10" x14ac:dyDescent="0.2">
      <c r="B3" s="600" t="s">
        <v>0</v>
      </c>
    </row>
    <row r="4" spans="2:10" x14ac:dyDescent="0.2">
      <c r="B4" s="600" t="s">
        <v>486</v>
      </c>
    </row>
    <row r="6" spans="2:10" x14ac:dyDescent="0.2">
      <c r="B6" t="s">
        <v>487</v>
      </c>
      <c r="C6" s="601">
        <v>44955</v>
      </c>
    </row>
    <row r="7" spans="2:10" x14ac:dyDescent="0.2">
      <c r="B7" t="s">
        <v>488</v>
      </c>
      <c r="C7" s="601">
        <v>44926</v>
      </c>
    </row>
    <row r="8" spans="2:10" x14ac:dyDescent="0.2">
      <c r="B8" t="s">
        <v>489</v>
      </c>
      <c r="C8" s="625">
        <f>6/12</f>
        <v>0.5</v>
      </c>
    </row>
    <row r="10" spans="2:10" x14ac:dyDescent="0.2">
      <c r="B10" s="602" t="s">
        <v>12</v>
      </c>
      <c r="C10" s="599"/>
      <c r="D10" s="599"/>
      <c r="E10" s="599"/>
      <c r="F10" s="599"/>
      <c r="G10" s="599"/>
      <c r="H10" s="599"/>
      <c r="I10" s="599"/>
      <c r="J10" s="599"/>
    </row>
    <row r="11" spans="2:10" x14ac:dyDescent="0.2">
      <c r="F11" s="608">
        <f>YEAR(C7)</f>
        <v>2022</v>
      </c>
      <c r="G11" s="609">
        <f>F11+1</f>
        <v>2023</v>
      </c>
      <c r="H11" s="609">
        <f t="shared" ref="H11:J11" si="0">G11+1</f>
        <v>2024</v>
      </c>
      <c r="I11" s="609">
        <f t="shared" si="0"/>
        <v>2025</v>
      </c>
      <c r="J11" s="609">
        <f t="shared" si="0"/>
        <v>2026</v>
      </c>
    </row>
    <row r="12" spans="2:10" x14ac:dyDescent="0.2">
      <c r="B12" t="s">
        <v>344</v>
      </c>
      <c r="F12" s="618">
        <f>NVDA!E15</f>
        <v>26974</v>
      </c>
      <c r="G12" s="619">
        <f>NVDA!F15</f>
        <v>35285.529728266578</v>
      </c>
      <c r="H12" s="619">
        <f>NVDA!G15</f>
        <v>46158.100697129994</v>
      </c>
      <c r="I12" s="619">
        <f>NVDA!H15</f>
        <v>60380.849497623742</v>
      </c>
      <c r="J12" s="619">
        <f>NVDA!I15</f>
        <v>78986.070288662886</v>
      </c>
    </row>
    <row r="13" spans="2:10" x14ac:dyDescent="0.2">
      <c r="B13" t="s">
        <v>345</v>
      </c>
      <c r="F13" s="620">
        <f>AMD!E15*($C$8)+AMD!F15*($C$8)</f>
        <v>30205.752465230453</v>
      </c>
      <c r="G13" s="621">
        <f>AMD!F15*($C$8)+AMD!G15*($C$8)</f>
        <v>47111.944411238816</v>
      </c>
      <c r="H13" s="621">
        <f>AMD!G15*($C$8)+AMD!H15*($C$8)</f>
        <v>73480.550062857772</v>
      </c>
      <c r="I13" s="621">
        <f>AMD!H15*($C$8)+AMD!I15*($C$8)</f>
        <v>114607.69248683553</v>
      </c>
      <c r="J13" s="621">
        <f>AMD!I15*($C$8)+AMD!J15*($C$8)</f>
        <v>178753.74049215738</v>
      </c>
    </row>
    <row r="14" spans="2:10" x14ac:dyDescent="0.2">
      <c r="B14" s="604" t="s">
        <v>347</v>
      </c>
      <c r="C14" s="607"/>
      <c r="D14" s="607"/>
      <c r="E14" s="607"/>
      <c r="F14" s="605">
        <f>SUM(F12:F13)</f>
        <v>57179.752465230456</v>
      </c>
      <c r="G14" s="606">
        <f t="shared" ref="G14:J14" si="1">SUM(G12:G13)</f>
        <v>82397.474139505386</v>
      </c>
      <c r="H14" s="606">
        <f t="shared" si="1"/>
        <v>119638.65075998777</v>
      </c>
      <c r="I14" s="606">
        <f t="shared" si="1"/>
        <v>174988.54198445927</v>
      </c>
      <c r="J14" s="606">
        <f t="shared" si="1"/>
        <v>257739.81078082026</v>
      </c>
    </row>
    <row r="15" spans="2:10" x14ac:dyDescent="0.2">
      <c r="F15" s="32"/>
    </row>
    <row r="16" spans="2:10" x14ac:dyDescent="0.2">
      <c r="B16" t="s">
        <v>360</v>
      </c>
      <c r="F16" s="618">
        <f>NVDA!E27</f>
        <v>7121</v>
      </c>
      <c r="G16" s="619">
        <f>NVDA!F27</f>
        <v>9315.2019424255341</v>
      </c>
      <c r="H16" s="619">
        <f>NVDA!G27</f>
        <v>12185.505859874793</v>
      </c>
      <c r="I16" s="619">
        <f>NVDA!H27</f>
        <v>15940.239833639011</v>
      </c>
      <c r="J16" s="619">
        <f>NVDA!I27</f>
        <v>20851.924316955901</v>
      </c>
    </row>
    <row r="17" spans="2:10" x14ac:dyDescent="0.2">
      <c r="B17" t="s">
        <v>361</v>
      </c>
      <c r="F17" s="620">
        <f>AMD!E27*($C$8)+AMD!F27*($C$8)</f>
        <v>7520.4017408454793</v>
      </c>
      <c r="G17" s="621">
        <f>AMD!F27*($C$8)+AMD!G27*($C$8)</f>
        <v>11729.578634822225</v>
      </c>
      <c r="H17" s="621">
        <f>AMD!G27*($C$8)+AMD!H27*($C$8)</f>
        <v>18294.636336144751</v>
      </c>
      <c r="I17" s="621">
        <f>AMD!H27*($C$8)+AMD!I27*($C$8)</f>
        <v>28534.163851220103</v>
      </c>
      <c r="J17" s="621">
        <f>AMD!I27*($C$8)+AMD!J27*($C$8)</f>
        <v>44504.765862968387</v>
      </c>
    </row>
    <row r="18" spans="2:10" x14ac:dyDescent="0.2">
      <c r="B18" s="604" t="s">
        <v>363</v>
      </c>
      <c r="C18" s="607"/>
      <c r="D18" s="607"/>
      <c r="E18" s="607"/>
      <c r="F18" s="605">
        <f>SUM(F16:F17)</f>
        <v>14641.401740845478</v>
      </c>
      <c r="G18" s="611">
        <f t="shared" ref="G18:J18" si="2">SUM(G16:G17)</f>
        <v>21044.780577247759</v>
      </c>
      <c r="H18" s="606">
        <f t="shared" si="2"/>
        <v>30480.142196019544</v>
      </c>
      <c r="I18" s="606">
        <f t="shared" si="2"/>
        <v>44474.403684859113</v>
      </c>
      <c r="J18" s="606">
        <f t="shared" si="2"/>
        <v>65356.690179924291</v>
      </c>
    </row>
    <row r="19" spans="2:10" x14ac:dyDescent="0.2">
      <c r="F19" s="32"/>
    </row>
    <row r="20" spans="2:10" x14ac:dyDescent="0.2">
      <c r="B20" t="s">
        <v>371</v>
      </c>
      <c r="F20" s="622">
        <f>NVDA!E31</f>
        <v>5577</v>
      </c>
      <c r="G20" s="623">
        <f>NVDA!F31</f>
        <v>7833.8972197723706</v>
      </c>
      <c r="H20" s="623">
        <f>NVDA!G31</f>
        <v>10303.350870731576</v>
      </c>
      <c r="I20" s="623">
        <f>NVDA!H31</f>
        <v>13533.720123104144</v>
      </c>
      <c r="J20" s="623">
        <f>NVDA!I31</f>
        <v>17759.466778693619</v>
      </c>
    </row>
    <row r="21" spans="2:10" x14ac:dyDescent="0.2">
      <c r="B21" t="s">
        <v>372</v>
      </c>
      <c r="F21" s="624">
        <f>AMD!E31*($C$8)+AMD!F31*($C$8)</f>
        <v>3762.3920139981583</v>
      </c>
      <c r="G21" s="616">
        <f>AMD!F31*($C$8)+AMD!G31*($C$8)</f>
        <v>8531.1005019602471</v>
      </c>
      <c r="H21" s="616">
        <f>AMD!G31*($C$8)+AMD!H31*($C$8)</f>
        <v>14946.864804712272</v>
      </c>
      <c r="I21" s="616">
        <f>AMD!H31*($C$8)+AMD!I31*($C$8)</f>
        <v>24541.610299287175</v>
      </c>
      <c r="J21" s="616">
        <f>AMD!I31*($C$8)+AMD!J31*($C$8)</f>
        <v>39353.795175297295</v>
      </c>
    </row>
    <row r="22" spans="2:10" x14ac:dyDescent="0.2">
      <c r="B22" s="604" t="s">
        <v>374</v>
      </c>
      <c r="C22" s="607"/>
      <c r="D22" s="607"/>
      <c r="E22" s="607"/>
      <c r="F22" s="613">
        <f>SUM(F20:F21)</f>
        <v>9339.3920139981583</v>
      </c>
      <c r="G22" s="614">
        <f t="shared" ref="G22:J22" si="3">SUM(G20:G21)</f>
        <v>16364.997721732618</v>
      </c>
      <c r="H22" s="615">
        <f t="shared" si="3"/>
        <v>25250.215675443847</v>
      </c>
      <c r="I22" s="615">
        <f t="shared" si="3"/>
        <v>38075.330422391315</v>
      </c>
      <c r="J22" s="615">
        <f t="shared" si="3"/>
        <v>57113.261953990914</v>
      </c>
    </row>
    <row r="23" spans="2:10" x14ac:dyDescent="0.2">
      <c r="F23" s="32"/>
    </row>
    <row r="24" spans="2:10" x14ac:dyDescent="0.2">
      <c r="B24" t="s">
        <v>490</v>
      </c>
      <c r="F24" s="622">
        <f>NVDA!E39</f>
        <v>4368</v>
      </c>
      <c r="G24" s="623">
        <f ca="1">NVDA!F39</f>
        <v>7941.2390510462756</v>
      </c>
      <c r="H24" s="623">
        <f ca="1">NVDA!G39</f>
        <v>10477.458327549519</v>
      </c>
      <c r="I24" s="623">
        <f ca="1">NVDA!H39</f>
        <v>13824.853165595321</v>
      </c>
      <c r="J24" s="623">
        <f ca="1">NVDA!I39</f>
        <v>18236.707106834721</v>
      </c>
    </row>
    <row r="25" spans="2:10" x14ac:dyDescent="0.2">
      <c r="B25" t="s">
        <v>491</v>
      </c>
      <c r="F25" s="624">
        <f ca="1">AMD!E39*($C$8)+AMD!F39*($C$8)</f>
        <v>3937.3327562466666</v>
      </c>
      <c r="G25" s="616">
        <f ca="1">AMD!F39*($C$8)+AMD!G39*($C$8)</f>
        <v>9520.7713496097203</v>
      </c>
      <c r="H25" s="616">
        <f ca="1">AMD!G39*($C$8)+AMD!H39*($C$8)</f>
        <v>16776.437208683164</v>
      </c>
      <c r="I25" s="616">
        <f ca="1">AMD!H39*($C$8)+AMD!I39*($C$8)</f>
        <v>27610.244411730069</v>
      </c>
      <c r="J25" s="616">
        <f ca="1">AMD!I39*($C$8)+AMD!J39*($C$8)</f>
        <v>44313.573214881879</v>
      </c>
    </row>
    <row r="26" spans="2:10" x14ac:dyDescent="0.2">
      <c r="B26" s="604" t="s">
        <v>35</v>
      </c>
      <c r="C26" s="607"/>
      <c r="D26" s="607"/>
      <c r="E26" s="607"/>
      <c r="F26" s="613">
        <f ca="1">SUM(F24:F25)</f>
        <v>8305.3327562466657</v>
      </c>
      <c r="G26" s="614">
        <f t="shared" ref="G26:J26" ca="1" si="4">SUM(G24:G25)</f>
        <v>17462.010400655996</v>
      </c>
      <c r="H26" s="615">
        <f t="shared" ca="1" si="4"/>
        <v>27253.895536232681</v>
      </c>
      <c r="I26" s="615">
        <f t="shared" ca="1" si="4"/>
        <v>41435.097577325389</v>
      </c>
      <c r="J26" s="615">
        <f t="shared" ca="1" si="4"/>
        <v>62550.2803217166</v>
      </c>
    </row>
    <row r="28" spans="2:10" x14ac:dyDescent="0.2">
      <c r="B28" s="602" t="s">
        <v>485</v>
      </c>
      <c r="C28" s="599"/>
      <c r="D28" s="599"/>
      <c r="E28" s="599"/>
      <c r="F28" s="599"/>
      <c r="G28" s="599"/>
      <c r="H28" s="599"/>
      <c r="I28" s="599"/>
      <c r="J28" s="599"/>
    </row>
    <row r="29" spans="2:10" x14ac:dyDescent="0.2">
      <c r="C29" s="590" t="s">
        <v>492</v>
      </c>
      <c r="D29" s="590" t="s">
        <v>179</v>
      </c>
      <c r="E29" s="590" t="s">
        <v>493</v>
      </c>
      <c r="H29" s="610" t="s">
        <v>492</v>
      </c>
      <c r="I29" s="610" t="s">
        <v>179</v>
      </c>
      <c r="J29" s="610" t="s">
        <v>494</v>
      </c>
    </row>
    <row r="30" spans="2:10" x14ac:dyDescent="0.2">
      <c r="B30" s="40" t="s">
        <v>495</v>
      </c>
    </row>
    <row r="31" spans="2:10" x14ac:dyDescent="0.2">
      <c r="B31" t="s">
        <v>496</v>
      </c>
      <c r="C31" s="603">
        <f>G12</f>
        <v>35285.529728266578</v>
      </c>
      <c r="D31" s="603">
        <f>G13</f>
        <v>47111.944411238816</v>
      </c>
      <c r="E31" s="603">
        <f>G14</f>
        <v>82397.474139505386</v>
      </c>
      <c r="H31" s="626">
        <f>C31/E31</f>
        <v>0.42823557514063365</v>
      </c>
      <c r="I31" s="626">
        <f>D31/E31</f>
        <v>0.5717644248593664</v>
      </c>
      <c r="J31" s="626">
        <v>1</v>
      </c>
    </row>
    <row r="32" spans="2:10" x14ac:dyDescent="0.2">
      <c r="B32" t="s">
        <v>497</v>
      </c>
      <c r="C32" s="603">
        <f>H12</f>
        <v>46158.100697129994</v>
      </c>
      <c r="D32" s="603">
        <f>H13</f>
        <v>73480.550062857772</v>
      </c>
      <c r="E32" s="603">
        <f>H14</f>
        <v>119638.65075998777</v>
      </c>
      <c r="H32" s="626">
        <f t="shared" ref="H32:H33" si="5">C32/E32</f>
        <v>0.38581261493603553</v>
      </c>
      <c r="I32" s="626">
        <f t="shared" ref="I32:I33" si="6">D32/E32</f>
        <v>0.61418738506396442</v>
      </c>
      <c r="J32" s="626">
        <v>1</v>
      </c>
    </row>
    <row r="33" spans="2:10" x14ac:dyDescent="0.2">
      <c r="B33" t="s">
        <v>498</v>
      </c>
      <c r="C33" s="603">
        <f>I12</f>
        <v>60380.849497623742</v>
      </c>
      <c r="D33" s="603">
        <f>I13</f>
        <v>114607.69248683553</v>
      </c>
      <c r="E33" s="603">
        <f>I14</f>
        <v>174988.54198445927</v>
      </c>
      <c r="H33" s="626">
        <f t="shared" si="5"/>
        <v>0.34505601802766128</v>
      </c>
      <c r="I33" s="626">
        <f t="shared" si="6"/>
        <v>0.65494398197233872</v>
      </c>
      <c r="J33" s="626">
        <v>1</v>
      </c>
    </row>
    <row r="34" spans="2:10" x14ac:dyDescent="0.2">
      <c r="H34" s="626"/>
      <c r="I34" s="626"/>
      <c r="J34" s="626"/>
    </row>
    <row r="35" spans="2:10" x14ac:dyDescent="0.2">
      <c r="B35" t="s">
        <v>499</v>
      </c>
      <c r="C35" s="603">
        <f>G16</f>
        <v>9315.2019424255341</v>
      </c>
      <c r="D35" s="603">
        <f>G17</f>
        <v>11729.578634822225</v>
      </c>
      <c r="E35" s="603">
        <f>G18</f>
        <v>21044.780577247759</v>
      </c>
      <c r="H35" s="626">
        <f>C35/E35</f>
        <v>0.44263716165786599</v>
      </c>
      <c r="I35" s="626">
        <f>D35/E35</f>
        <v>0.55736283834213407</v>
      </c>
      <c r="J35" s="626">
        <f>1</f>
        <v>1</v>
      </c>
    </row>
    <row r="36" spans="2:10" x14ac:dyDescent="0.2">
      <c r="B36" t="s">
        <v>500</v>
      </c>
      <c r="C36" s="603">
        <f>H16</f>
        <v>12185.505859874793</v>
      </c>
      <c r="D36" s="603">
        <f>H17</f>
        <v>18294.636336144751</v>
      </c>
      <c r="E36" s="603">
        <f>H18</f>
        <v>30480.142196019544</v>
      </c>
      <c r="H36" s="626">
        <f t="shared" ref="H36:H45" si="7">C36/E36</f>
        <v>0.39978507257312335</v>
      </c>
      <c r="I36" s="626">
        <f t="shared" ref="I36:I45" si="8">D36/E36</f>
        <v>0.60021492742687665</v>
      </c>
      <c r="J36" s="626">
        <f>1</f>
        <v>1</v>
      </c>
    </row>
    <row r="37" spans="2:10" x14ac:dyDescent="0.2">
      <c r="B37" t="s">
        <v>501</v>
      </c>
      <c r="C37" s="603">
        <f>I16</f>
        <v>15940.239833639011</v>
      </c>
      <c r="D37" s="603">
        <f>I17</f>
        <v>28534.163851220103</v>
      </c>
      <c r="E37" s="603">
        <f>I18</f>
        <v>44474.403684859113</v>
      </c>
      <c r="H37" s="626">
        <f t="shared" si="7"/>
        <v>0.35841379564276682</v>
      </c>
      <c r="I37" s="626">
        <f t="shared" si="8"/>
        <v>0.64158620435723313</v>
      </c>
      <c r="J37" s="626">
        <f>1</f>
        <v>1</v>
      </c>
    </row>
    <row r="38" spans="2:10" x14ac:dyDescent="0.2">
      <c r="H38" s="626"/>
      <c r="I38" s="626"/>
      <c r="J38" s="626"/>
    </row>
    <row r="39" spans="2:10" x14ac:dyDescent="0.2">
      <c r="B39" t="s">
        <v>502</v>
      </c>
      <c r="C39" s="612">
        <f>G20</f>
        <v>7833.8972197723706</v>
      </c>
      <c r="D39" s="612">
        <f>G21</f>
        <v>8531.1005019602471</v>
      </c>
      <c r="E39" s="612">
        <f>G22</f>
        <v>16364.997721732618</v>
      </c>
      <c r="H39" s="626">
        <f t="shared" si="7"/>
        <v>0.47869833855027077</v>
      </c>
      <c r="I39" s="626">
        <f t="shared" si="8"/>
        <v>0.52130166144972923</v>
      </c>
      <c r="J39" s="626">
        <f>1</f>
        <v>1</v>
      </c>
    </row>
    <row r="40" spans="2:10" x14ac:dyDescent="0.2">
      <c r="B40" t="s">
        <v>503</v>
      </c>
      <c r="C40" s="612">
        <f>H20</f>
        <v>10303.350870731576</v>
      </c>
      <c r="D40" s="612">
        <f>H21</f>
        <v>14946.864804712272</v>
      </c>
      <c r="E40" s="612">
        <f>H22</f>
        <v>25250.215675443847</v>
      </c>
      <c r="H40" s="626">
        <f t="shared" si="7"/>
        <v>0.40805001443024164</v>
      </c>
      <c r="I40" s="626">
        <f t="shared" si="8"/>
        <v>0.59194998556975831</v>
      </c>
      <c r="J40" s="626">
        <f>1</f>
        <v>1</v>
      </c>
    </row>
    <row r="41" spans="2:10" x14ac:dyDescent="0.2">
      <c r="B41" t="s">
        <v>504</v>
      </c>
      <c r="C41" s="612">
        <f>I20</f>
        <v>13533.720123104144</v>
      </c>
      <c r="D41" s="612">
        <f>I21</f>
        <v>24541.610299287175</v>
      </c>
      <c r="E41" s="612">
        <f>I22</f>
        <v>38075.330422391315</v>
      </c>
      <c r="H41" s="626">
        <f t="shared" si="7"/>
        <v>0.35544590087510425</v>
      </c>
      <c r="I41" s="626">
        <f t="shared" si="8"/>
        <v>0.64455409912489592</v>
      </c>
      <c r="J41" s="626">
        <f>1</f>
        <v>1</v>
      </c>
    </row>
    <row r="42" spans="2:10" x14ac:dyDescent="0.2">
      <c r="H42" s="626"/>
      <c r="I42" s="626"/>
      <c r="J42" s="626"/>
    </row>
    <row r="43" spans="2:10" x14ac:dyDescent="0.2">
      <c r="B43" t="s">
        <v>505</v>
      </c>
      <c r="C43" s="612">
        <f ca="1">G24</f>
        <v>7941.2390510462756</v>
      </c>
      <c r="D43" s="612">
        <f ca="1">G25</f>
        <v>9520.7713496097203</v>
      </c>
      <c r="E43" s="612">
        <f ca="1">G26</f>
        <v>17462.010400655996</v>
      </c>
      <c r="H43" s="626">
        <f t="shared" ca="1" si="7"/>
        <v>0.45477232396723044</v>
      </c>
      <c r="I43" s="626">
        <f t="shared" ca="1" si="8"/>
        <v>0.54522767603276956</v>
      </c>
      <c r="J43" s="626">
        <f>1</f>
        <v>1</v>
      </c>
    </row>
    <row r="44" spans="2:10" x14ac:dyDescent="0.2">
      <c r="B44" t="s">
        <v>506</v>
      </c>
      <c r="C44" s="612">
        <f ca="1">H24</f>
        <v>10477.458327549519</v>
      </c>
      <c r="D44" s="612">
        <f ca="1">H25</f>
        <v>16776.437208683164</v>
      </c>
      <c r="E44" s="612">
        <f ca="1">H26</f>
        <v>27253.895536232681</v>
      </c>
      <c r="H44" s="626">
        <f t="shared" ca="1" si="7"/>
        <v>0.38443892593703771</v>
      </c>
      <c r="I44" s="626">
        <f t="shared" ca="1" si="8"/>
        <v>0.61556107406296234</v>
      </c>
      <c r="J44" s="626">
        <f>1</f>
        <v>1</v>
      </c>
    </row>
    <row r="45" spans="2:10" x14ac:dyDescent="0.2">
      <c r="B45" t="s">
        <v>507</v>
      </c>
      <c r="C45" s="612">
        <f ca="1">I24</f>
        <v>13824.853165595321</v>
      </c>
      <c r="D45" s="612">
        <f ca="1">I25</f>
        <v>27610.244411730069</v>
      </c>
      <c r="E45" s="612">
        <f ca="1">I26</f>
        <v>41435.097577325389</v>
      </c>
      <c r="H45" s="626">
        <f t="shared" ca="1" si="7"/>
        <v>0.33365079302143896</v>
      </c>
      <c r="I45" s="626">
        <f t="shared" ca="1" si="8"/>
        <v>0.66634920697856104</v>
      </c>
      <c r="J45" s="626">
        <f>1</f>
        <v>1</v>
      </c>
    </row>
    <row r="47" spans="2:10" x14ac:dyDescent="0.2">
      <c r="C47" s="590" t="s">
        <v>492</v>
      </c>
      <c r="D47" s="590" t="s">
        <v>179</v>
      </c>
      <c r="E47" s="590" t="s">
        <v>493</v>
      </c>
      <c r="H47" s="610" t="s">
        <v>492</v>
      </c>
      <c r="I47" s="610" t="s">
        <v>179</v>
      </c>
      <c r="J47" s="610" t="s">
        <v>494</v>
      </c>
    </row>
    <row r="48" spans="2:10" x14ac:dyDescent="0.2">
      <c r="B48" s="40" t="s">
        <v>508</v>
      </c>
    </row>
    <row r="49" spans="2:10" x14ac:dyDescent="0.2">
      <c r="B49" t="s">
        <v>203</v>
      </c>
      <c r="C49" s="616">
        <f>NVDA!E222</f>
        <v>2507</v>
      </c>
      <c r="D49" s="616">
        <f>AMD!E223</f>
        <v>1571</v>
      </c>
    </row>
    <row r="50" spans="2:10" x14ac:dyDescent="0.2">
      <c r="B50" t="s">
        <v>509</v>
      </c>
      <c r="C50" s="617">
        <f>NVDA!C7</f>
        <v>485.09</v>
      </c>
      <c r="D50" s="617">
        <f>AMD!C7</f>
        <v>109.45</v>
      </c>
    </row>
    <row r="51" spans="2:10" x14ac:dyDescent="0.2">
      <c r="B51" s="604" t="s">
        <v>510</v>
      </c>
      <c r="C51" s="627">
        <f>C50*C49</f>
        <v>1216120.6299999999</v>
      </c>
      <c r="D51" s="627">
        <f>D50*D49</f>
        <v>171945.95</v>
      </c>
      <c r="E51" s="627">
        <f>SUM(C51:D51)</f>
        <v>1388066.5799999998</v>
      </c>
      <c r="H51" s="626">
        <f>C51/E51</f>
        <v>0.87612557461040519</v>
      </c>
      <c r="I51" s="626">
        <f>D51/E51</f>
        <v>0.12387442538959481</v>
      </c>
      <c r="J51" s="626">
        <f>1</f>
        <v>1</v>
      </c>
    </row>
    <row r="53" spans="2:10" x14ac:dyDescent="0.2">
      <c r="B53" t="s">
        <v>419</v>
      </c>
      <c r="C53" s="588">
        <f>-NVDA!E79</f>
        <v>-9703</v>
      </c>
      <c r="D53" s="588">
        <f>-AMD!E80</f>
        <v>-2467</v>
      </c>
      <c r="E53" s="588">
        <f>SUM(C53:D53)</f>
        <v>-12170</v>
      </c>
    </row>
    <row r="54" spans="2:10" x14ac:dyDescent="0.2">
      <c r="B54" s="604" t="s">
        <v>511</v>
      </c>
      <c r="C54" s="627">
        <f>C51-C53</f>
        <v>1225823.6299999999</v>
      </c>
      <c r="D54" s="627">
        <f>D51-D53</f>
        <v>174412.95</v>
      </c>
      <c r="E54" s="627">
        <f>SUM(C54:D54)</f>
        <v>1400236.5799999998</v>
      </c>
      <c r="H54" s="626">
        <f>C54/E54</f>
        <v>0.87544037022657983</v>
      </c>
      <c r="I54" s="626">
        <f>D54/E54</f>
        <v>0.12455962977342017</v>
      </c>
      <c r="J54" s="626">
        <f>1</f>
        <v>1</v>
      </c>
    </row>
    <row r="56" spans="2:10" x14ac:dyDescent="0.2">
      <c r="B56" t="s">
        <v>512</v>
      </c>
      <c r="C56" s="628">
        <f>C54/C31</f>
        <v>34.74012263497395</v>
      </c>
      <c r="D56" s="628">
        <f>D54/D31</f>
        <v>3.7020961919455999</v>
      </c>
      <c r="E56" s="628">
        <f>E54/E31</f>
        <v>16.99368329700604</v>
      </c>
    </row>
    <row r="57" spans="2:10" x14ac:dyDescent="0.2">
      <c r="B57" t="s">
        <v>513</v>
      </c>
      <c r="C57" s="628">
        <f>C54/C32</f>
        <v>26.55706390614592</v>
      </c>
      <c r="D57" s="628">
        <f>D54/D32</f>
        <v>2.3735934182692047</v>
      </c>
      <c r="E57" s="628">
        <f>E54/E32</f>
        <v>11.703881405425363</v>
      </c>
    </row>
    <row r="58" spans="2:10" x14ac:dyDescent="0.2">
      <c r="B58" t="s">
        <v>514</v>
      </c>
      <c r="C58" s="628">
        <f>C54/C33</f>
        <v>20.301530041379124</v>
      </c>
      <c r="D58" s="628">
        <f>D54/D33</f>
        <v>1.5218258584172615</v>
      </c>
      <c r="E58" s="628">
        <f>E54/E33</f>
        <v>8.0018758035274953</v>
      </c>
    </row>
    <row r="59" spans="2:10" x14ac:dyDescent="0.2">
      <c r="C59" s="628"/>
      <c r="D59" s="628"/>
      <c r="E59" s="628"/>
    </row>
    <row r="60" spans="2:10" x14ac:dyDescent="0.2">
      <c r="B60" t="s">
        <v>515</v>
      </c>
      <c r="C60" s="628">
        <f>$C$54/C35</f>
        <v>131.59388680744095</v>
      </c>
      <c r="D60" s="628">
        <f>$D$54/D35</f>
        <v>14.869498336641948</v>
      </c>
      <c r="E60" s="628">
        <f>$E$54/E35</f>
        <v>66.536050345606554</v>
      </c>
    </row>
    <row r="61" spans="2:10" x14ac:dyDescent="0.2">
      <c r="B61" t="s">
        <v>516</v>
      </c>
      <c r="C61" s="628">
        <f t="shared" ref="C61:C62" si="9">$C$54/C36</f>
        <v>100.59686024496281</v>
      </c>
      <c r="D61" s="628">
        <f t="shared" ref="D61:D62" si="10">$D$54/D36</f>
        <v>9.5335565460468867</v>
      </c>
      <c r="E61" s="628">
        <f t="shared" ref="E61:E62" si="11">$E$54/E36</f>
        <v>45.939306024066362</v>
      </c>
    </row>
    <row r="62" spans="2:10" x14ac:dyDescent="0.2">
      <c r="B62" t="s">
        <v>517</v>
      </c>
      <c r="C62" s="628">
        <f t="shared" si="9"/>
        <v>76.901203670293555</v>
      </c>
      <c r="D62" s="628">
        <f t="shared" si="10"/>
        <v>6.1124254738777717</v>
      </c>
      <c r="E62" s="628">
        <f t="shared" si="11"/>
        <v>31.484100156169088</v>
      </c>
    </row>
    <row r="63" spans="2:10" x14ac:dyDescent="0.2">
      <c r="C63" s="628"/>
      <c r="D63" s="628"/>
      <c r="E63" s="628"/>
    </row>
    <row r="64" spans="2:10" x14ac:dyDescent="0.2">
      <c r="B64" t="s">
        <v>518</v>
      </c>
      <c r="C64" s="628">
        <f>$C$54/C39</f>
        <v>156.47685891334922</v>
      </c>
      <c r="D64" s="628">
        <f>$D$54/D39</f>
        <v>20.444367049705253</v>
      </c>
      <c r="E64" s="628">
        <f>$E$54/E39</f>
        <v>85.562894893684842</v>
      </c>
    </row>
    <row r="65" spans="2:10" x14ac:dyDescent="0.2">
      <c r="B65" t="s">
        <v>519</v>
      </c>
      <c r="C65" s="628">
        <f t="shared" ref="C65:C66" si="12">$C$54/C40</f>
        <v>118.97329765621792</v>
      </c>
      <c r="D65" s="628">
        <f t="shared" ref="D65:D66" si="13">$D$54/D40</f>
        <v>11.668865161944407</v>
      </c>
      <c r="E65" s="628">
        <f t="shared" ref="E65:E66" si="14">$E$54/E40</f>
        <v>55.454440389661606</v>
      </c>
    </row>
    <row r="66" spans="2:10" x14ac:dyDescent="0.2">
      <c r="B66" t="s">
        <v>520</v>
      </c>
      <c r="C66" s="628">
        <f t="shared" si="12"/>
        <v>90.575512043235634</v>
      </c>
      <c r="D66" s="628">
        <f t="shared" si="13"/>
        <v>7.1068258306206555</v>
      </c>
      <c r="E66" s="628">
        <f t="shared" si="14"/>
        <v>36.775428196324981</v>
      </c>
    </row>
    <row r="67" spans="2:10" x14ac:dyDescent="0.2">
      <c r="C67" s="628"/>
      <c r="D67" s="628"/>
      <c r="E67" s="628"/>
    </row>
    <row r="68" spans="2:10" x14ac:dyDescent="0.2">
      <c r="B68" t="s">
        <v>521</v>
      </c>
      <c r="C68" s="628">
        <f ca="1">$C$51/C43</f>
        <v>153.13990955098794</v>
      </c>
      <c r="D68" s="628">
        <f ca="1">D51/D43</f>
        <v>18.060086067191236</v>
      </c>
      <c r="E68" s="628">
        <f ca="1">$E$51/E43</f>
        <v>79.490651314000729</v>
      </c>
    </row>
    <row r="69" spans="2:10" x14ac:dyDescent="0.2">
      <c r="B69" t="s">
        <v>522</v>
      </c>
      <c r="C69" s="628">
        <f t="shared" ref="C69:C70" ca="1" si="15">$C$51/C44</f>
        <v>116.07019488708649</v>
      </c>
      <c r="D69" s="628">
        <f ca="1">D51/D44</f>
        <v>10.24925303633623</v>
      </c>
      <c r="E69" s="628">
        <f t="shared" ref="E69:E70" ca="1" si="16">$E$51/E44</f>
        <v>50.930942263084383</v>
      </c>
    </row>
    <row r="70" spans="2:10" x14ac:dyDescent="0.2">
      <c r="B70" t="s">
        <v>523</v>
      </c>
      <c r="C70" s="628">
        <f t="shared" ca="1" si="15"/>
        <v>87.966260142744289</v>
      </c>
      <c r="D70" s="628">
        <f ca="1">D51/D45</f>
        <v>6.2276141940615952</v>
      </c>
      <c r="E70" s="628">
        <f t="shared" ca="1" si="16"/>
        <v>33.499778235338205</v>
      </c>
    </row>
    <row r="72" spans="2:10" x14ac:dyDescent="0.2">
      <c r="B72" s="602" t="s">
        <v>524</v>
      </c>
      <c r="C72" s="599"/>
      <c r="D72" s="599"/>
      <c r="E72" s="599"/>
      <c r="F72" s="599"/>
      <c r="G72" s="599"/>
      <c r="H72" s="599"/>
      <c r="I72" s="599"/>
      <c r="J72" s="599"/>
    </row>
    <row r="74" spans="2:10" x14ac:dyDescent="0.2">
      <c r="C74" s="629" t="s">
        <v>525</v>
      </c>
      <c r="D74" s="629"/>
      <c r="E74" s="629"/>
    </row>
    <row r="75" spans="2:10" x14ac:dyDescent="0.2">
      <c r="C75" s="5" t="s">
        <v>526</v>
      </c>
      <c r="D75" s="5" t="s">
        <v>527</v>
      </c>
      <c r="E75" s="5" t="s">
        <v>528</v>
      </c>
    </row>
    <row r="76" spans="2:10" x14ac:dyDescent="0.2">
      <c r="B76" t="s">
        <v>529</v>
      </c>
      <c r="C76" s="628">
        <f>C56</f>
        <v>34.74012263497395</v>
      </c>
      <c r="D76" s="628">
        <f>C60</f>
        <v>131.59388680744095</v>
      </c>
      <c r="E76" s="628">
        <f ca="1">C68</f>
        <v>153.13990955098794</v>
      </c>
    </row>
    <row r="77" spans="2:10" x14ac:dyDescent="0.2">
      <c r="B77" t="s">
        <v>530</v>
      </c>
      <c r="C77" s="603">
        <f>D31</f>
        <v>47111.944411238816</v>
      </c>
      <c r="D77" s="603">
        <f>D35</f>
        <v>11729.578634822225</v>
      </c>
      <c r="E77" s="612">
        <f ca="1">D43</f>
        <v>9520.7713496097203</v>
      </c>
    </row>
    <row r="78" spans="2:10" x14ac:dyDescent="0.2">
      <c r="B78" s="604" t="s">
        <v>531</v>
      </c>
      <c r="C78" s="630">
        <f>C76*C77</f>
        <v>1636674.7264185122</v>
      </c>
      <c r="D78" s="630">
        <f t="shared" ref="D78" si="17">D76*D77</f>
        <v>1543540.8431697737</v>
      </c>
      <c r="E78" s="630">
        <f ca="1">E81+E80</f>
        <v>1455543.0633348699</v>
      </c>
    </row>
    <row r="80" spans="2:10" x14ac:dyDescent="0.2">
      <c r="B80" t="s">
        <v>532</v>
      </c>
      <c r="C80" s="588">
        <f>D53</f>
        <v>-2467</v>
      </c>
      <c r="D80" s="588">
        <f>C80</f>
        <v>-2467</v>
      </c>
      <c r="E80" s="588">
        <f>D80</f>
        <v>-2467</v>
      </c>
    </row>
    <row r="81" spans="2:10" x14ac:dyDescent="0.2">
      <c r="B81" s="604" t="s">
        <v>533</v>
      </c>
      <c r="C81" s="630">
        <f>+C78-C80</f>
        <v>1639141.7264185122</v>
      </c>
      <c r="D81" s="630">
        <f t="shared" ref="D81" si="18">+D78-D80</f>
        <v>1546007.8431697737</v>
      </c>
      <c r="E81" s="630">
        <f ca="1">E76*E77</f>
        <v>1458010.0633348699</v>
      </c>
    </row>
    <row r="82" spans="2:10" x14ac:dyDescent="0.2">
      <c r="H82" s="632" t="s">
        <v>534</v>
      </c>
      <c r="I82" s="633"/>
      <c r="J82" s="633"/>
    </row>
    <row r="83" spans="2:10" x14ac:dyDescent="0.2">
      <c r="B83" t="s">
        <v>535</v>
      </c>
      <c r="C83" s="587">
        <f>D49</f>
        <v>1571</v>
      </c>
      <c r="D83" s="587">
        <f>C83</f>
        <v>1571</v>
      </c>
      <c r="E83" s="587">
        <f>D83</f>
        <v>1571</v>
      </c>
      <c r="H83" s="600" t="s">
        <v>526</v>
      </c>
      <c r="I83" s="634" cm="1">
        <f t="array" aca="1" ref="I83:I85" ca="1">TRANSPOSE(C84:E84)</f>
        <v>1043.3747462880408</v>
      </c>
    </row>
    <row r="84" spans="2:10" x14ac:dyDescent="0.2">
      <c r="B84" s="604" t="s">
        <v>536</v>
      </c>
      <c r="C84" s="631">
        <f>+C81/C83</f>
        <v>1043.3747462880408</v>
      </c>
      <c r="D84" s="631">
        <f t="shared" ref="D84:E84" si="19">+D81/D83</f>
        <v>984.09156153391064</v>
      </c>
      <c r="E84" s="631">
        <f t="shared" ca="1" si="19"/>
        <v>928.07769785796938</v>
      </c>
      <c r="H84" s="600" t="s">
        <v>527</v>
      </c>
      <c r="I84" s="634">
        <f ca="1"/>
        <v>984.09156153391064</v>
      </c>
    </row>
    <row r="85" spans="2:10" x14ac:dyDescent="0.2">
      <c r="B85" s="600" t="s">
        <v>537</v>
      </c>
      <c r="C85" s="635">
        <f>'Detailed Acquire'!J27</f>
        <v>142.285</v>
      </c>
      <c r="D85" s="635">
        <f>C85</f>
        <v>142.285</v>
      </c>
      <c r="E85" s="635">
        <f>D85</f>
        <v>142.285</v>
      </c>
      <c r="H85" s="600" t="s">
        <v>528</v>
      </c>
      <c r="I85" s="634">
        <f ca="1"/>
        <v>928.07769785796938</v>
      </c>
    </row>
    <row r="86" spans="2:10" x14ac:dyDescent="0.2">
      <c r="B86" s="600" t="s">
        <v>538</v>
      </c>
      <c r="C86" s="636">
        <f>C85/C84-1</f>
        <v>-0.86363001356300806</v>
      </c>
      <c r="D86" s="636">
        <f t="shared" ref="D86:E86" si="20">D85/D84-1</f>
        <v>-0.85541487645903669</v>
      </c>
      <c r="E86" s="636">
        <f t="shared" ca="1" si="20"/>
        <v>-0.84668848273329056</v>
      </c>
      <c r="H86" s="600" t="s">
        <v>537</v>
      </c>
      <c r="I86" s="634">
        <f>C85</f>
        <v>142.285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8BF1-4768-4BAE-A51E-1B95667732EB}">
  <sheetPr codeName="Sheet5"/>
  <dimension ref="A1:Q303"/>
  <sheetViews>
    <sheetView showGridLines="0" workbookViewId="0">
      <selection activeCell="N15" sqref="N15"/>
    </sheetView>
  </sheetViews>
  <sheetFormatPr baseColWidth="10" defaultColWidth="8.83203125" defaultRowHeight="15" x14ac:dyDescent="0.2"/>
  <cols>
    <col min="2" max="2" width="69.1640625" bestFit="1" customWidth="1"/>
    <col min="3" max="3" width="12" bestFit="1" customWidth="1"/>
    <col min="4" max="4" width="10.1640625" bestFit="1" customWidth="1"/>
    <col min="6" max="6" width="10.1640625" customWidth="1"/>
    <col min="14" max="14" width="45.33203125" bestFit="1" customWidth="1"/>
  </cols>
  <sheetData>
    <row r="1" spans="1:13" x14ac:dyDescent="0.2">
      <c r="A1" s="192"/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</row>
    <row r="2" spans="1:13" ht="19" x14ac:dyDescent="0.2">
      <c r="A2" s="228" t="s">
        <v>183</v>
      </c>
      <c r="B2" s="193" t="str">
        <f>"M&amp;A Model for "&amp;C6&amp;" Selling a Business Unit"</f>
        <v>M&amp;A Model for NVIDIA Corp. Selling a Business Unit</v>
      </c>
      <c r="C2" s="193"/>
      <c r="D2" s="193"/>
      <c r="E2" s="194"/>
      <c r="F2" s="195"/>
      <c r="G2" s="195"/>
      <c r="H2" s="195"/>
      <c r="I2" s="195"/>
      <c r="J2" s="195"/>
      <c r="K2" s="195"/>
      <c r="L2" s="195"/>
      <c r="M2" s="192"/>
    </row>
    <row r="3" spans="1:13" x14ac:dyDescent="0.2">
      <c r="A3" s="192"/>
      <c r="B3" s="197" t="s">
        <v>539</v>
      </c>
      <c r="C3" s="198"/>
      <c r="D3" s="198"/>
      <c r="E3" s="198"/>
      <c r="F3" s="192"/>
      <c r="G3" s="192"/>
      <c r="H3" s="192"/>
      <c r="I3" s="192"/>
      <c r="J3" s="192"/>
      <c r="K3" s="192"/>
      <c r="L3" s="192"/>
      <c r="M3" s="192"/>
    </row>
    <row r="4" spans="1:13" x14ac:dyDescent="0.2">
      <c r="A4" s="192"/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</row>
    <row r="5" spans="1:13" x14ac:dyDescent="0.2">
      <c r="A5" s="199" t="s">
        <v>190</v>
      </c>
      <c r="B5" s="200" t="s">
        <v>191</v>
      </c>
      <c r="C5" s="200"/>
      <c r="D5" s="192"/>
      <c r="E5" s="192"/>
      <c r="F5" s="200" t="s">
        <v>192</v>
      </c>
      <c r="G5" s="200"/>
      <c r="H5" s="200"/>
      <c r="I5" s="200"/>
      <c r="J5" s="200"/>
      <c r="K5" s="192"/>
      <c r="L5" s="192"/>
      <c r="M5" s="192"/>
    </row>
    <row r="6" spans="1:13" x14ac:dyDescent="0.2">
      <c r="A6" s="192"/>
      <c r="B6" s="192" t="s">
        <v>193</v>
      </c>
      <c r="C6" s="201" t="s">
        <v>194</v>
      </c>
      <c r="D6" s="192"/>
      <c r="E6" s="192"/>
      <c r="F6" s="198" t="s">
        <v>195</v>
      </c>
      <c r="G6" s="192"/>
      <c r="H6" s="202" t="s">
        <v>196</v>
      </c>
      <c r="I6" s="202" t="s">
        <v>197</v>
      </c>
      <c r="J6" s="202" t="s">
        <v>198</v>
      </c>
      <c r="K6" s="192"/>
      <c r="L6" s="192"/>
      <c r="M6" s="192"/>
    </row>
    <row r="7" spans="1:13" x14ac:dyDescent="0.2">
      <c r="A7" s="192"/>
      <c r="B7" s="192" t="s">
        <v>3</v>
      </c>
      <c r="C7" s="201" t="s">
        <v>4</v>
      </c>
      <c r="D7" s="192"/>
      <c r="E7" s="192"/>
      <c r="F7" s="192"/>
      <c r="G7" s="192"/>
      <c r="H7" s="192"/>
      <c r="I7" s="202" t="s">
        <v>199</v>
      </c>
      <c r="J7" s="202" t="s">
        <v>196</v>
      </c>
      <c r="K7" s="192"/>
      <c r="L7" s="192"/>
      <c r="M7" s="192"/>
    </row>
    <row r="8" spans="1:13" x14ac:dyDescent="0.2">
      <c r="A8" s="192"/>
      <c r="B8" s="192" t="s">
        <v>5</v>
      </c>
      <c r="C8" s="203">
        <v>485.09</v>
      </c>
      <c r="D8" s="192"/>
      <c r="E8" s="192"/>
      <c r="F8" s="192" t="s">
        <v>200</v>
      </c>
      <c r="G8" s="192"/>
      <c r="H8" s="204"/>
      <c r="I8" s="205"/>
      <c r="J8" s="206">
        <f>IF(I8&lt;C8,H8-(H8*I8)/C8,0)*circ</f>
        <v>0</v>
      </c>
      <c r="K8" s="192"/>
      <c r="L8" s="192"/>
      <c r="M8" s="192"/>
    </row>
    <row r="9" spans="1:13" x14ac:dyDescent="0.2">
      <c r="A9" s="192"/>
      <c r="B9" s="192" t="s">
        <v>6</v>
      </c>
      <c r="C9" s="207">
        <v>45173</v>
      </c>
      <c r="D9" s="192"/>
      <c r="E9" s="192"/>
      <c r="F9" s="192" t="s">
        <v>201</v>
      </c>
      <c r="G9" s="192"/>
      <c r="H9" s="192"/>
      <c r="I9" s="192"/>
      <c r="J9" s="204">
        <v>20</v>
      </c>
      <c r="K9" s="192"/>
      <c r="L9" s="192"/>
      <c r="M9" s="192"/>
    </row>
    <row r="10" spans="1:13" x14ac:dyDescent="0.2">
      <c r="A10" s="192"/>
      <c r="B10" s="192" t="s">
        <v>7</v>
      </c>
      <c r="C10" s="207">
        <v>44955</v>
      </c>
      <c r="D10" s="585">
        <v>44926</v>
      </c>
      <c r="E10" s="192"/>
      <c r="F10" s="192" t="s">
        <v>202</v>
      </c>
      <c r="G10" s="192"/>
      <c r="H10" s="192"/>
      <c r="I10" s="192"/>
      <c r="J10" s="208">
        <f>'Detailed Acquire'!J10</f>
        <v>2487</v>
      </c>
      <c r="K10" s="192"/>
      <c r="L10" s="192"/>
      <c r="M10" s="192"/>
    </row>
    <row r="11" spans="1:13" x14ac:dyDescent="0.2">
      <c r="A11" s="192"/>
      <c r="B11" s="192" t="s">
        <v>11</v>
      </c>
      <c r="C11" s="577">
        <v>1</v>
      </c>
      <c r="D11" s="192"/>
      <c r="E11" s="192"/>
      <c r="F11" s="192" t="s">
        <v>203</v>
      </c>
      <c r="G11" s="192"/>
      <c r="H11" s="192"/>
      <c r="I11" s="192"/>
      <c r="J11" s="210">
        <f>SUM(J8:J10)</f>
        <v>2507</v>
      </c>
      <c r="K11" s="192"/>
      <c r="L11" s="192"/>
      <c r="M11" s="192"/>
    </row>
    <row r="12" spans="1:13" x14ac:dyDescent="0.2">
      <c r="A12" s="192"/>
      <c r="B12" s="192" t="s">
        <v>343</v>
      </c>
      <c r="C12" s="209" t="s">
        <v>9</v>
      </c>
      <c r="D12" s="192" t="s">
        <v>540</v>
      </c>
      <c r="E12" s="192"/>
      <c r="F12" s="192"/>
      <c r="G12" s="192"/>
      <c r="H12" s="192"/>
      <c r="I12" s="192"/>
      <c r="J12" s="192"/>
      <c r="K12" s="192"/>
      <c r="L12" s="192"/>
      <c r="M12" s="192"/>
    </row>
    <row r="13" spans="1:13" x14ac:dyDescent="0.2">
      <c r="A13" s="192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</row>
    <row r="14" spans="1:13" x14ac:dyDescent="0.2">
      <c r="A14" s="192"/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</row>
    <row r="15" spans="1:13" x14ac:dyDescent="0.2">
      <c r="A15" s="199" t="s">
        <v>190</v>
      </c>
      <c r="B15" s="200" t="s">
        <v>207</v>
      </c>
      <c r="C15" s="200"/>
      <c r="D15" s="192"/>
      <c r="E15" s="192"/>
      <c r="F15" s="200" t="s">
        <v>541</v>
      </c>
      <c r="G15" s="200"/>
      <c r="H15" s="200"/>
      <c r="I15" s="200"/>
      <c r="J15" s="200"/>
      <c r="K15" s="192"/>
      <c r="L15" s="192"/>
      <c r="M15" s="192"/>
    </row>
    <row r="16" spans="1:13" x14ac:dyDescent="0.2">
      <c r="A16" s="199"/>
      <c r="B16" s="192" t="s">
        <v>542</v>
      </c>
      <c r="C16" s="485">
        <v>1</v>
      </c>
      <c r="D16" s="192"/>
      <c r="E16" s="192"/>
      <c r="F16" s="192" t="s">
        <v>543</v>
      </c>
      <c r="G16" s="192"/>
      <c r="H16" s="192"/>
      <c r="I16" s="192"/>
      <c r="J16" s="494">
        <f>G35</f>
        <v>960.33543412174686</v>
      </c>
      <c r="K16" s="192"/>
      <c r="L16" s="192"/>
      <c r="M16" s="192"/>
    </row>
    <row r="17" spans="1:17" x14ac:dyDescent="0.2">
      <c r="A17" s="199"/>
      <c r="B17" s="192" t="s">
        <v>544</v>
      </c>
      <c r="C17" s="487">
        <v>0</v>
      </c>
      <c r="D17" s="192"/>
      <c r="E17" s="192"/>
      <c r="F17" s="216" t="s">
        <v>545</v>
      </c>
      <c r="G17" s="192"/>
      <c r="H17" s="192"/>
      <c r="I17" s="192"/>
      <c r="J17" s="524">
        <v>30</v>
      </c>
      <c r="K17" s="192"/>
      <c r="L17" s="192"/>
      <c r="M17" s="192"/>
    </row>
    <row r="18" spans="1:17" x14ac:dyDescent="0.2">
      <c r="A18" s="199"/>
      <c r="B18" s="192"/>
      <c r="C18" s="525"/>
      <c r="D18" s="192"/>
      <c r="E18" s="192"/>
      <c r="F18" s="216" t="s">
        <v>221</v>
      </c>
      <c r="G18" s="216"/>
      <c r="H18" s="216"/>
      <c r="I18" s="192"/>
      <c r="J18" s="388">
        <f>J17*J16</f>
        <v>28810.063023652405</v>
      </c>
      <c r="K18" s="192"/>
      <c r="L18" s="192"/>
      <c r="M18" s="192"/>
    </row>
    <row r="19" spans="1:17" x14ac:dyDescent="0.2">
      <c r="A19" s="192"/>
      <c r="B19" s="192" t="s">
        <v>218</v>
      </c>
      <c r="C19" s="419">
        <v>2000</v>
      </c>
      <c r="D19" s="192"/>
      <c r="E19" s="192"/>
      <c r="F19" s="192" t="s">
        <v>229</v>
      </c>
      <c r="G19" s="192"/>
      <c r="H19" s="192"/>
      <c r="I19" s="192"/>
      <c r="J19" s="526">
        <v>100</v>
      </c>
      <c r="K19" s="192"/>
      <c r="L19" s="192"/>
      <c r="M19" s="192"/>
    </row>
    <row r="20" spans="1:17" x14ac:dyDescent="0.2">
      <c r="A20" s="192"/>
      <c r="B20" s="192" t="s">
        <v>220</v>
      </c>
      <c r="C20" s="492">
        <f>NVDA!E58</f>
        <v>3389</v>
      </c>
      <c r="D20" s="192"/>
      <c r="E20" s="192"/>
      <c r="F20" s="216" t="s">
        <v>546</v>
      </c>
      <c r="G20" s="216"/>
      <c r="H20" s="216"/>
      <c r="I20" s="192"/>
      <c r="J20" s="491">
        <f>J18-J19</f>
        <v>28710.063023652405</v>
      </c>
      <c r="K20" s="192"/>
      <c r="L20" s="192"/>
      <c r="M20" s="192"/>
    </row>
    <row r="21" spans="1:17" x14ac:dyDescent="0.2">
      <c r="A21" s="192"/>
      <c r="B21" s="192" t="s">
        <v>547</v>
      </c>
      <c r="C21" s="492">
        <f>NVDA!E79</f>
        <v>9703</v>
      </c>
      <c r="D21" s="192"/>
      <c r="E21" s="192"/>
      <c r="F21" s="222" t="s">
        <v>548</v>
      </c>
      <c r="G21" s="222"/>
      <c r="H21" s="222"/>
      <c r="I21" s="192"/>
      <c r="J21" s="419">
        <v>20000</v>
      </c>
      <c r="K21" s="192"/>
      <c r="L21" s="192"/>
      <c r="M21" s="192"/>
    </row>
    <row r="22" spans="1:17" x14ac:dyDescent="0.2">
      <c r="A22" s="192"/>
      <c r="B22" s="192" t="s">
        <v>224</v>
      </c>
      <c r="C22" s="527">
        <f>NVDA!F52</f>
        <v>-4.4726142071274816E-2</v>
      </c>
      <c r="D22" s="192"/>
      <c r="E22" s="192"/>
      <c r="F22" s="192" t="s">
        <v>549</v>
      </c>
      <c r="G22" s="192"/>
      <c r="H22" s="192"/>
      <c r="I22" s="192"/>
      <c r="J22" s="528">
        <v>0.2</v>
      </c>
      <c r="K22" s="192"/>
      <c r="L22" s="192"/>
      <c r="M22" s="192"/>
    </row>
    <row r="23" spans="1:17" x14ac:dyDescent="0.2">
      <c r="A23" s="228" t="s">
        <v>183</v>
      </c>
      <c r="B23" s="192"/>
      <c r="C23" s="227"/>
      <c r="D23" s="192"/>
      <c r="E23" s="192"/>
      <c r="F23" s="216" t="s">
        <v>550</v>
      </c>
      <c r="G23" s="192"/>
      <c r="H23" s="192"/>
      <c r="I23" s="192"/>
      <c r="J23" s="402">
        <f>(J20-J21)*J22</f>
        <v>1742.0126047304811</v>
      </c>
      <c r="K23" s="192"/>
      <c r="L23" s="192"/>
      <c r="M23" s="192"/>
    </row>
    <row r="24" spans="1:17" x14ac:dyDescent="0.2">
      <c r="A24" s="192"/>
      <c r="B24" s="192"/>
      <c r="C24" s="192"/>
      <c r="D24" s="192"/>
      <c r="E24" s="192"/>
      <c r="F24" s="216"/>
      <c r="G24" s="216"/>
      <c r="H24" s="216"/>
      <c r="I24" s="192"/>
      <c r="J24" s="221"/>
      <c r="K24" s="192"/>
      <c r="L24" s="192"/>
      <c r="M24" s="192"/>
    </row>
    <row r="25" spans="1:17" x14ac:dyDescent="0.2">
      <c r="A25" s="192"/>
      <c r="B25" s="200" t="s">
        <v>551</v>
      </c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192"/>
    </row>
    <row r="26" spans="1:17" x14ac:dyDescent="0.2">
      <c r="A26" s="192"/>
      <c r="B26" s="192"/>
      <c r="C26" s="192"/>
      <c r="D26" s="192"/>
      <c r="E26" s="274">
        <f>F26-1</f>
        <v>2020</v>
      </c>
      <c r="F26" s="274">
        <f>G26-1</f>
        <v>2021</v>
      </c>
      <c r="G26" s="313">
        <f>YEAR(D10)</f>
        <v>2022</v>
      </c>
      <c r="H26" s="351">
        <f>G26+1</f>
        <v>2023</v>
      </c>
      <c r="I26" s="279">
        <f>H26+1</f>
        <v>2024</v>
      </c>
      <c r="J26" s="279">
        <f>I26+1</f>
        <v>2025</v>
      </c>
      <c r="K26" s="279">
        <f>J26+1</f>
        <v>2026</v>
      </c>
      <c r="L26" s="279">
        <f>K26+1</f>
        <v>2027</v>
      </c>
      <c r="M26" s="192"/>
      <c r="N26" s="40" t="s">
        <v>552</v>
      </c>
    </row>
    <row r="27" spans="1:17" x14ac:dyDescent="0.2">
      <c r="A27" s="192"/>
      <c r="B27" s="192" t="s">
        <v>13</v>
      </c>
      <c r="C27" s="192"/>
      <c r="D27" s="192"/>
      <c r="E27" s="223">
        <v>4531</v>
      </c>
      <c r="F27" s="223">
        <v>8544</v>
      </c>
      <c r="G27" s="586">
        <v>6986</v>
      </c>
      <c r="H27" s="338">
        <f>G27*(1+(INDEX(H39:H41,MATCH($C$12,$D$93:$D$95,0))))</f>
        <v>7684.6</v>
      </c>
      <c r="I27" s="235">
        <f>H27*(1+(INDEX(I39:I41,MATCH($C$12,$D$93:$D$95,0))))</f>
        <v>8453.0600000000013</v>
      </c>
      <c r="J27" s="235">
        <f>I27*(1+(INDEX(J39:J41,MATCH($C$12,$D$93:$D$95,0))))</f>
        <v>9298.3660000000018</v>
      </c>
      <c r="K27" s="235">
        <f>J27*(1+(INDEX(K39:K41,MATCH($C$12,$D$93:$D$95,0))))</f>
        <v>10228.202600000002</v>
      </c>
      <c r="L27" s="235">
        <f>K27*(1+(INDEX(L39:L41,MATCH($C$12,$D$93:$D$95,0))))</f>
        <v>11251.022860000003</v>
      </c>
      <c r="M27" s="192"/>
      <c r="O27" s="590" t="s">
        <v>553</v>
      </c>
      <c r="P27" s="590" t="s">
        <v>554</v>
      </c>
      <c r="Q27" s="590" t="s">
        <v>555</v>
      </c>
    </row>
    <row r="28" spans="1:17" x14ac:dyDescent="0.2">
      <c r="A28" s="192"/>
      <c r="B28" s="317" t="s">
        <v>556</v>
      </c>
      <c r="C28" s="317"/>
      <c r="D28" s="317"/>
      <c r="E28" s="318">
        <f>E27-E29</f>
        <v>2265.5</v>
      </c>
      <c r="F28" s="318">
        <f t="shared" ref="F28:L28" si="0">F27-F29</f>
        <v>4272</v>
      </c>
      <c r="G28" s="319">
        <f t="shared" si="0"/>
        <v>3493</v>
      </c>
      <c r="H28" s="318">
        <f t="shared" si="0"/>
        <v>3842.3</v>
      </c>
      <c r="I28" s="318">
        <f t="shared" si="0"/>
        <v>4226.5300000000007</v>
      </c>
      <c r="J28" s="318">
        <f t="shared" si="0"/>
        <v>4649.1830000000009</v>
      </c>
      <c r="K28" s="318">
        <f t="shared" si="0"/>
        <v>5114.1013000000012</v>
      </c>
      <c r="L28" s="318">
        <f t="shared" si="0"/>
        <v>5625.5114300000014</v>
      </c>
      <c r="M28" s="192"/>
      <c r="N28" t="s">
        <v>347</v>
      </c>
      <c r="O28" s="587">
        <f>NVDA!E15</f>
        <v>26974</v>
      </c>
      <c r="P28" s="587">
        <f>NVDA!D15</f>
        <v>26914</v>
      </c>
      <c r="Q28" s="587">
        <f>NVDA!C15</f>
        <v>16675</v>
      </c>
    </row>
    <row r="29" spans="1:17" x14ac:dyDescent="0.2">
      <c r="A29" s="192"/>
      <c r="B29" s="192" t="s">
        <v>16</v>
      </c>
      <c r="C29" s="192"/>
      <c r="D29" s="192"/>
      <c r="E29" s="235">
        <f>E27*$H$42</f>
        <v>2265.5</v>
      </c>
      <c r="F29" s="235">
        <f>F27*$H$42</f>
        <v>4272</v>
      </c>
      <c r="G29" s="286">
        <f>G27*$H$42</f>
        <v>3493</v>
      </c>
      <c r="H29" s="235">
        <f>H27*H42</f>
        <v>3842.3</v>
      </c>
      <c r="I29" s="235">
        <f>I27*I42</f>
        <v>4226.5300000000007</v>
      </c>
      <c r="J29" s="235">
        <f>J27*J42</f>
        <v>4649.1830000000009</v>
      </c>
      <c r="K29" s="235">
        <f>K27*K42</f>
        <v>5114.1013000000012</v>
      </c>
      <c r="L29" s="235">
        <f>L27*L42</f>
        <v>5625.5114300000014</v>
      </c>
      <c r="M29" s="192"/>
      <c r="N29" t="s">
        <v>557</v>
      </c>
      <c r="O29" s="588">
        <f>G27</f>
        <v>6986</v>
      </c>
      <c r="P29" s="588">
        <f>F27</f>
        <v>8544</v>
      </c>
      <c r="Q29" s="588">
        <f>E27</f>
        <v>4531</v>
      </c>
    </row>
    <row r="30" spans="1:17" x14ac:dyDescent="0.2">
      <c r="A30" s="192"/>
      <c r="B30" s="192"/>
      <c r="C30" s="192"/>
      <c r="D30" s="192"/>
      <c r="E30" s="192"/>
      <c r="F30" s="192"/>
      <c r="G30" s="294"/>
      <c r="H30" s="192"/>
      <c r="I30" s="192"/>
      <c r="J30" s="192"/>
      <c r="K30" s="192"/>
      <c r="L30" s="192"/>
      <c r="M30" s="192"/>
      <c r="N30" t="s">
        <v>558</v>
      </c>
      <c r="O30" s="589">
        <f>O29/O28</f>
        <v>0.2589901386520353</v>
      </c>
      <c r="P30" s="589">
        <f t="shared" ref="P30:Q30" si="1">P29/P28</f>
        <v>0.31745559931634093</v>
      </c>
      <c r="Q30" s="589">
        <f t="shared" si="1"/>
        <v>0.2717241379310345</v>
      </c>
    </row>
    <row r="31" spans="1:17" x14ac:dyDescent="0.2">
      <c r="A31" s="192"/>
      <c r="B31" s="192" t="s">
        <v>559</v>
      </c>
      <c r="C31" s="192"/>
      <c r="D31" s="192"/>
      <c r="E31" s="300">
        <f>Q34</f>
        <v>1570.5655172413794</v>
      </c>
      <c r="F31" s="300">
        <f>P34</f>
        <v>2359.9649253176785</v>
      </c>
      <c r="G31" s="591">
        <f>O34</f>
        <v>2532.6645658782531</v>
      </c>
      <c r="H31" s="235">
        <f t="shared" ref="H31:L31" si="2">H29-H32</f>
        <v>1921.15</v>
      </c>
      <c r="I31" s="235">
        <f t="shared" si="2"/>
        <v>2113.2650000000003</v>
      </c>
      <c r="J31" s="235">
        <f t="shared" si="2"/>
        <v>2324.5915000000005</v>
      </c>
      <c r="K31" s="235">
        <f t="shared" si="2"/>
        <v>2557.0506500000006</v>
      </c>
      <c r="L31" s="235">
        <f t="shared" si="2"/>
        <v>2812.7557150000007</v>
      </c>
      <c r="M31" s="192"/>
    </row>
    <row r="32" spans="1:17" x14ac:dyDescent="0.2">
      <c r="A32" s="192"/>
      <c r="B32" s="192" t="s">
        <v>560</v>
      </c>
      <c r="C32" s="192"/>
      <c r="D32" s="192"/>
      <c r="E32" s="260">
        <f>E29-E31</f>
        <v>694.93448275862056</v>
      </c>
      <c r="F32" s="260">
        <f t="shared" ref="F32:G32" si="3">F29-F31</f>
        <v>1912.0350746823215</v>
      </c>
      <c r="G32" s="260">
        <f t="shared" si="3"/>
        <v>960.33543412174686</v>
      </c>
      <c r="H32" s="529">
        <f>H27*H43</f>
        <v>1921.15</v>
      </c>
      <c r="I32" s="235">
        <f>I27*I43</f>
        <v>2113.2650000000003</v>
      </c>
      <c r="J32" s="235">
        <f>J27*J43</f>
        <v>2324.5915000000005</v>
      </c>
      <c r="K32" s="235">
        <f>K27*K43</f>
        <v>2557.0506500000006</v>
      </c>
      <c r="L32" s="235">
        <f>L27*L43</f>
        <v>2812.7557150000007</v>
      </c>
      <c r="M32" s="192"/>
      <c r="N32" t="s">
        <v>359</v>
      </c>
      <c r="O32" s="587">
        <f>NVDA!E23</f>
        <v>9779</v>
      </c>
      <c r="P32" s="587">
        <f>NVDA!D23</f>
        <v>7434</v>
      </c>
      <c r="Q32" s="587">
        <f>NVDA!C23</f>
        <v>5780</v>
      </c>
    </row>
    <row r="33" spans="1:17" x14ac:dyDescent="0.2">
      <c r="A33" s="192"/>
      <c r="B33" s="192"/>
      <c r="C33" s="192"/>
      <c r="D33" s="192"/>
      <c r="E33" s="192"/>
      <c r="F33" s="192"/>
      <c r="G33" s="294"/>
      <c r="H33" s="192"/>
      <c r="I33" s="192"/>
      <c r="J33" s="192"/>
      <c r="K33" s="192"/>
      <c r="L33" s="192"/>
      <c r="M33" s="192"/>
      <c r="N33" t="s">
        <v>561</v>
      </c>
      <c r="O33" s="589">
        <f>O30</f>
        <v>0.2589901386520353</v>
      </c>
      <c r="P33" s="589">
        <f t="shared" ref="P33:Q33" si="4">P30</f>
        <v>0.31745559931634093</v>
      </c>
      <c r="Q33" s="589">
        <f t="shared" si="4"/>
        <v>0.2717241379310345</v>
      </c>
    </row>
    <row r="34" spans="1:17" x14ac:dyDescent="0.2">
      <c r="A34" s="192"/>
      <c r="B34" s="317" t="s">
        <v>562</v>
      </c>
      <c r="C34" s="317"/>
      <c r="D34" s="317"/>
      <c r="E34" s="530">
        <v>0</v>
      </c>
      <c r="F34" s="530">
        <v>0</v>
      </c>
      <c r="G34" s="531">
        <v>0</v>
      </c>
      <c r="H34" s="592">
        <f>G34</f>
        <v>0</v>
      </c>
      <c r="I34" s="592">
        <f>H34</f>
        <v>0</v>
      </c>
      <c r="J34" s="592">
        <f>I34</f>
        <v>0</v>
      </c>
      <c r="K34" s="592">
        <f>J34</f>
        <v>0</v>
      </c>
      <c r="L34" s="592">
        <f>K34</f>
        <v>0</v>
      </c>
      <c r="M34" s="192"/>
      <c r="N34" t="s">
        <v>563</v>
      </c>
      <c r="O34" s="587">
        <f>O33*O32</f>
        <v>2532.6645658782531</v>
      </c>
      <c r="P34" s="587">
        <f t="shared" ref="P34:Q34" si="5">P33*P32</f>
        <v>2359.9649253176785</v>
      </c>
      <c r="Q34" s="587">
        <f t="shared" si="5"/>
        <v>1570.5655172413794</v>
      </c>
    </row>
    <row r="35" spans="1:17" x14ac:dyDescent="0.2">
      <c r="A35" s="192"/>
      <c r="B35" s="216" t="s">
        <v>564</v>
      </c>
      <c r="C35" s="216"/>
      <c r="D35" s="216"/>
      <c r="E35" s="518">
        <f t="shared" ref="E35:L35" si="6">E32+E34</f>
        <v>694.93448275862056</v>
      </c>
      <c r="F35" s="518">
        <f t="shared" si="6"/>
        <v>1912.0350746823215</v>
      </c>
      <c r="G35" s="532">
        <f t="shared" si="6"/>
        <v>960.33543412174686</v>
      </c>
      <c r="H35" s="518">
        <f t="shared" si="6"/>
        <v>1921.15</v>
      </c>
      <c r="I35" s="518">
        <f t="shared" si="6"/>
        <v>2113.2650000000003</v>
      </c>
      <c r="J35" s="518">
        <f t="shared" si="6"/>
        <v>2324.5915000000005</v>
      </c>
      <c r="K35" s="518">
        <f t="shared" si="6"/>
        <v>2557.0506500000006</v>
      </c>
      <c r="L35" s="518">
        <f t="shared" si="6"/>
        <v>2812.7557150000007</v>
      </c>
      <c r="M35" s="192"/>
    </row>
    <row r="36" spans="1:17" x14ac:dyDescent="0.2">
      <c r="A36" s="192"/>
      <c r="B36" s="192"/>
      <c r="C36" s="192"/>
      <c r="D36" s="192"/>
      <c r="E36" s="192"/>
      <c r="F36" s="192"/>
      <c r="G36" s="294"/>
      <c r="H36" s="192"/>
      <c r="I36" s="192"/>
      <c r="J36" s="192"/>
      <c r="K36" s="192"/>
      <c r="L36" s="192"/>
      <c r="M36" s="192"/>
    </row>
    <row r="37" spans="1:17" x14ac:dyDescent="0.2">
      <c r="A37" s="192"/>
      <c r="B37" s="192"/>
      <c r="C37" s="192"/>
      <c r="D37" s="341" t="s">
        <v>38</v>
      </c>
      <c r="E37" s="192"/>
      <c r="F37" s="192"/>
      <c r="G37" s="294"/>
      <c r="H37" s="192"/>
      <c r="I37" s="192"/>
      <c r="J37" s="192"/>
      <c r="K37" s="192"/>
      <c r="L37" s="192"/>
      <c r="M37" s="192"/>
    </row>
    <row r="38" spans="1:17" x14ac:dyDescent="0.2">
      <c r="A38" s="192"/>
      <c r="B38" s="192"/>
      <c r="C38" s="192"/>
      <c r="D38" s="228" t="s">
        <v>565</v>
      </c>
      <c r="E38" s="342"/>
      <c r="F38" s="343"/>
      <c r="G38" s="294"/>
      <c r="H38" s="192"/>
      <c r="I38" s="192"/>
      <c r="J38" s="192"/>
      <c r="K38" s="192"/>
      <c r="L38" s="192"/>
      <c r="M38" s="192"/>
    </row>
    <row r="39" spans="1:17" x14ac:dyDescent="0.2">
      <c r="A39" s="192"/>
      <c r="B39" s="192"/>
      <c r="C39" s="192"/>
      <c r="D39" s="344" t="s">
        <v>40</v>
      </c>
      <c r="E39" s="345"/>
      <c r="F39" s="346"/>
      <c r="G39" s="347"/>
      <c r="H39" s="349">
        <v>0.15</v>
      </c>
      <c r="I39" s="343">
        <f t="shared" ref="I39:K42" si="7">H39</f>
        <v>0.15</v>
      </c>
      <c r="J39" s="343">
        <f t="shared" si="7"/>
        <v>0.15</v>
      </c>
      <c r="K39" s="343">
        <f t="shared" si="7"/>
        <v>0.15</v>
      </c>
      <c r="L39" s="343">
        <f>K39</f>
        <v>0.15</v>
      </c>
      <c r="M39" s="192"/>
    </row>
    <row r="40" spans="1:17" x14ac:dyDescent="0.2">
      <c r="A40" s="192"/>
      <c r="B40" s="192"/>
      <c r="C40" s="192"/>
      <c r="D40" s="344" t="s">
        <v>9</v>
      </c>
      <c r="E40" s="345"/>
      <c r="F40" s="346"/>
      <c r="G40" s="347"/>
      <c r="H40" s="349">
        <v>0.1</v>
      </c>
      <c r="I40" s="343">
        <f t="shared" si="7"/>
        <v>0.1</v>
      </c>
      <c r="J40" s="343">
        <f t="shared" si="7"/>
        <v>0.1</v>
      </c>
      <c r="K40" s="343">
        <f t="shared" si="7"/>
        <v>0.1</v>
      </c>
      <c r="L40" s="343">
        <f>K40</f>
        <v>0.1</v>
      </c>
      <c r="M40" s="192"/>
    </row>
    <row r="41" spans="1:17" x14ac:dyDescent="0.2">
      <c r="A41" s="192"/>
      <c r="B41" s="192"/>
      <c r="C41" s="192"/>
      <c r="D41" s="344" t="s">
        <v>41</v>
      </c>
      <c r="E41" s="345"/>
      <c r="F41" s="346"/>
      <c r="G41" s="347"/>
      <c r="H41" s="349">
        <v>0.05</v>
      </c>
      <c r="I41" s="348">
        <f t="shared" si="7"/>
        <v>0.05</v>
      </c>
      <c r="J41" s="348">
        <f t="shared" si="7"/>
        <v>0.05</v>
      </c>
      <c r="K41" s="348">
        <f t="shared" si="7"/>
        <v>0.05</v>
      </c>
      <c r="L41" s="348">
        <f>K41</f>
        <v>0.05</v>
      </c>
      <c r="M41" s="192"/>
    </row>
    <row r="42" spans="1:17" x14ac:dyDescent="0.2">
      <c r="A42" s="192"/>
      <c r="B42" s="192"/>
      <c r="C42" s="192"/>
      <c r="D42" s="228" t="s">
        <v>42</v>
      </c>
      <c r="E42" s="343"/>
      <c r="F42" s="343"/>
      <c r="G42" s="350"/>
      <c r="H42" s="349">
        <v>0.5</v>
      </c>
      <c r="I42" s="343">
        <f t="shared" si="7"/>
        <v>0.5</v>
      </c>
      <c r="J42" s="343">
        <f t="shared" si="7"/>
        <v>0.5</v>
      </c>
      <c r="K42" s="343">
        <f t="shared" si="7"/>
        <v>0.5</v>
      </c>
      <c r="L42" s="343">
        <f>K42</f>
        <v>0.5</v>
      </c>
      <c r="M42" s="192"/>
    </row>
    <row r="43" spans="1:17" x14ac:dyDescent="0.2">
      <c r="A43" s="228" t="s">
        <v>183</v>
      </c>
      <c r="B43" s="192"/>
      <c r="C43" s="192"/>
      <c r="D43" s="228" t="s">
        <v>566</v>
      </c>
      <c r="E43" s="343"/>
      <c r="F43" s="343"/>
      <c r="G43" s="350"/>
      <c r="H43" s="349">
        <v>0.25</v>
      </c>
      <c r="I43" s="343">
        <f>H43</f>
        <v>0.25</v>
      </c>
      <c r="J43" s="343">
        <f>I43</f>
        <v>0.25</v>
      </c>
      <c r="K43" s="343">
        <f>J43</f>
        <v>0.25</v>
      </c>
      <c r="L43" s="343">
        <f>K43</f>
        <v>0.25</v>
      </c>
      <c r="M43" s="192"/>
    </row>
    <row r="44" spans="1:17" x14ac:dyDescent="0.2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</row>
    <row r="45" spans="1:17" x14ac:dyDescent="0.2">
      <c r="A45" s="192"/>
      <c r="B45" s="200" t="s">
        <v>12</v>
      </c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192"/>
    </row>
    <row r="46" spans="1:17" x14ac:dyDescent="0.2">
      <c r="A46" s="192"/>
      <c r="B46" s="192"/>
      <c r="C46" s="192"/>
      <c r="D46" s="192"/>
      <c r="E46" s="274">
        <f>F46-1</f>
        <v>2020</v>
      </c>
      <c r="F46" s="274">
        <f>G46-1</f>
        <v>2021</v>
      </c>
      <c r="G46" s="313">
        <f>YEAR(D10)</f>
        <v>2022</v>
      </c>
      <c r="H46" s="279">
        <f>G46+1</f>
        <v>2023</v>
      </c>
      <c r="I46" s="279">
        <f>H46+1</f>
        <v>2024</v>
      </c>
      <c r="J46" s="279">
        <f>I46+1</f>
        <v>2025</v>
      </c>
      <c r="K46" s="279">
        <f>J46+1</f>
        <v>2026</v>
      </c>
      <c r="L46" s="279">
        <f>K46+1</f>
        <v>2027</v>
      </c>
      <c r="M46" s="192"/>
    </row>
    <row r="47" spans="1:17" x14ac:dyDescent="0.2">
      <c r="A47" s="192"/>
      <c r="B47" s="192" t="s">
        <v>567</v>
      </c>
      <c r="C47" s="192"/>
      <c r="D47" s="192"/>
      <c r="E47" s="314">
        <f>NVDA!C15</f>
        <v>16675</v>
      </c>
      <c r="F47" s="314">
        <f>NVDA!D15</f>
        <v>26914</v>
      </c>
      <c r="G47" s="315">
        <f>NVDA!E15</f>
        <v>26974</v>
      </c>
      <c r="H47" s="314">
        <f>NVDA!F15</f>
        <v>35285.529728266578</v>
      </c>
      <c r="I47" s="314">
        <f>NVDA!G15</f>
        <v>46158.100697129994</v>
      </c>
      <c r="J47" s="314">
        <f>NVDA!H15</f>
        <v>60380.849497623742</v>
      </c>
      <c r="K47" s="314">
        <f>NVDA!I15</f>
        <v>78986.070288662886</v>
      </c>
      <c r="L47" s="314">
        <f>NVDA!J15</f>
        <v>103324.13921886143</v>
      </c>
      <c r="M47" s="192"/>
    </row>
    <row r="48" spans="1:17" x14ac:dyDescent="0.2">
      <c r="A48" s="192"/>
      <c r="B48" s="192" t="s">
        <v>568</v>
      </c>
      <c r="C48" s="192"/>
      <c r="D48" s="192"/>
      <c r="E48" s="260">
        <f>-E27</f>
        <v>-4531</v>
      </c>
      <c r="F48" s="260">
        <f t="shared" ref="F48:L48" si="8">-F27</f>
        <v>-8544</v>
      </c>
      <c r="G48" s="321">
        <f t="shared" si="8"/>
        <v>-6986</v>
      </c>
      <c r="H48" s="260">
        <f t="shared" si="8"/>
        <v>-7684.6</v>
      </c>
      <c r="I48" s="260">
        <f t="shared" si="8"/>
        <v>-8453.0600000000013</v>
      </c>
      <c r="J48" s="260">
        <f t="shared" si="8"/>
        <v>-9298.3660000000018</v>
      </c>
      <c r="K48" s="260">
        <f t="shared" si="8"/>
        <v>-10228.202600000002</v>
      </c>
      <c r="L48" s="260">
        <f t="shared" si="8"/>
        <v>-11251.022860000003</v>
      </c>
      <c r="M48" s="192"/>
    </row>
    <row r="49" spans="1:13" x14ac:dyDescent="0.2">
      <c r="A49" s="192"/>
      <c r="B49" s="317" t="s">
        <v>346</v>
      </c>
      <c r="C49" s="317"/>
      <c r="D49" s="317"/>
      <c r="E49" s="318"/>
      <c r="F49" s="318"/>
      <c r="G49" s="319"/>
      <c r="H49" s="318">
        <f>SUM(H47:H48)*(INDEX(H93:H95,MATCH($C$12,$D$93:$D$95,0)))</f>
        <v>0</v>
      </c>
      <c r="I49" s="318">
        <f t="shared" ref="I49:L49" si="9">SUM(I47:I48)*(INDEX(I93:I95,MATCH($C$12,$D$93:$D$95,0)))</f>
        <v>0</v>
      </c>
      <c r="J49" s="318">
        <f t="shared" si="9"/>
        <v>0</v>
      </c>
      <c r="K49" s="318">
        <f t="shared" si="9"/>
        <v>0</v>
      </c>
      <c r="L49" s="318">
        <f t="shared" si="9"/>
        <v>0</v>
      </c>
      <c r="M49" s="192"/>
    </row>
    <row r="50" spans="1:13" x14ac:dyDescent="0.2">
      <c r="A50" s="192"/>
      <c r="B50" s="216" t="s">
        <v>347</v>
      </c>
      <c r="C50" s="192"/>
      <c r="D50" s="192"/>
      <c r="E50" s="221">
        <f>SUM(E47:E49)</f>
        <v>12144</v>
      </c>
      <c r="F50" s="221">
        <f t="shared" ref="F50:L50" si="10">SUM(F47:F49)</f>
        <v>18370</v>
      </c>
      <c r="G50" s="320">
        <f t="shared" si="10"/>
        <v>19988</v>
      </c>
      <c r="H50" s="221">
        <f t="shared" si="10"/>
        <v>27600.929728266579</v>
      </c>
      <c r="I50" s="221">
        <f t="shared" si="10"/>
        <v>37705.040697129996</v>
      </c>
      <c r="J50" s="221">
        <f t="shared" si="10"/>
        <v>51082.48349762374</v>
      </c>
      <c r="K50" s="221">
        <f t="shared" si="10"/>
        <v>68757.867688662882</v>
      </c>
      <c r="L50" s="221">
        <f t="shared" si="10"/>
        <v>92073.116358861429</v>
      </c>
      <c r="M50" s="192"/>
    </row>
    <row r="51" spans="1:13" x14ac:dyDescent="0.2">
      <c r="A51" s="192"/>
      <c r="B51" s="192"/>
      <c r="C51" s="192"/>
      <c r="D51" s="192"/>
      <c r="E51" s="192"/>
      <c r="F51" s="192"/>
      <c r="G51" s="294"/>
      <c r="H51" s="192"/>
      <c r="I51" s="192"/>
      <c r="J51" s="192"/>
      <c r="K51" s="192"/>
      <c r="L51" s="192"/>
      <c r="M51" s="192"/>
    </row>
    <row r="52" spans="1:13" x14ac:dyDescent="0.2">
      <c r="A52" s="192"/>
      <c r="B52" s="192" t="s">
        <v>569</v>
      </c>
      <c r="C52" s="192"/>
      <c r="D52" s="192"/>
      <c r="E52" s="223">
        <f>NVDA!C17</f>
        <v>5181</v>
      </c>
      <c r="F52" s="223">
        <f>NVDA!D17</f>
        <v>8265</v>
      </c>
      <c r="G52" s="316">
        <f>NVDA!E17</f>
        <v>10074</v>
      </c>
      <c r="H52" s="223">
        <f>NVDA!F17</f>
        <v>13178.113238027636</v>
      </c>
      <c r="I52" s="223">
        <f>NVDA!G17</f>
        <v>17238.700467964987</v>
      </c>
      <c r="J52" s="223">
        <f>NVDA!H17</f>
        <v>22550.481124010585</v>
      </c>
      <c r="K52" s="223">
        <f>NVDA!I17</f>
        <v>29498.986879513228</v>
      </c>
      <c r="L52" s="223">
        <f>NVDA!J17</f>
        <v>38588.543726952244</v>
      </c>
      <c r="M52" s="192"/>
    </row>
    <row r="53" spans="1:13" x14ac:dyDescent="0.2">
      <c r="A53" s="192"/>
      <c r="B53" s="192" t="s">
        <v>570</v>
      </c>
      <c r="C53" s="192"/>
      <c r="D53" s="192"/>
      <c r="E53" s="260">
        <f>-E28</f>
        <v>-2265.5</v>
      </c>
      <c r="F53" s="260">
        <f t="shared" ref="F53:L53" si="11">-F28</f>
        <v>-4272</v>
      </c>
      <c r="G53" s="321">
        <f t="shared" si="11"/>
        <v>-3493</v>
      </c>
      <c r="H53" s="260">
        <f t="shared" si="11"/>
        <v>-3842.3</v>
      </c>
      <c r="I53" s="260">
        <f t="shared" si="11"/>
        <v>-4226.5300000000007</v>
      </c>
      <c r="J53" s="260">
        <f t="shared" si="11"/>
        <v>-4649.1830000000009</v>
      </c>
      <c r="K53" s="260">
        <f t="shared" si="11"/>
        <v>-5114.1013000000012</v>
      </c>
      <c r="L53" s="260">
        <f t="shared" si="11"/>
        <v>-5625.5114300000014</v>
      </c>
      <c r="M53" s="192"/>
    </row>
    <row r="54" spans="1:13" x14ac:dyDescent="0.2">
      <c r="A54" s="192"/>
      <c r="B54" s="317" t="s">
        <v>350</v>
      </c>
      <c r="C54" s="317"/>
      <c r="D54" s="317"/>
      <c r="E54" s="318"/>
      <c r="F54" s="318"/>
      <c r="G54" s="319"/>
      <c r="H54" s="318">
        <f>H49*H96</f>
        <v>0</v>
      </c>
      <c r="I54" s="318">
        <f>I49*I96</f>
        <v>0</v>
      </c>
      <c r="J54" s="318">
        <f>J49*J96</f>
        <v>0</v>
      </c>
      <c r="K54" s="318">
        <f>K49*K96</f>
        <v>0</v>
      </c>
      <c r="L54" s="318">
        <f>L49*L96</f>
        <v>0</v>
      </c>
      <c r="M54" s="192"/>
    </row>
    <row r="55" spans="1:13" x14ac:dyDescent="0.2">
      <c r="A55" s="192"/>
      <c r="B55" s="216" t="s">
        <v>351</v>
      </c>
      <c r="C55" s="192"/>
      <c r="D55" s="192"/>
      <c r="E55" s="221">
        <f>SUM(E52:E54)</f>
        <v>2915.5</v>
      </c>
      <c r="F55" s="221">
        <f t="shared" ref="F55:L55" si="12">SUM(F52:F54)</f>
        <v>3993</v>
      </c>
      <c r="G55" s="320">
        <f t="shared" si="12"/>
        <v>6581</v>
      </c>
      <c r="H55" s="221">
        <f t="shared" si="12"/>
        <v>9335.8132380276365</v>
      </c>
      <c r="I55" s="221">
        <f t="shared" si="12"/>
        <v>13012.170467964987</v>
      </c>
      <c r="J55" s="221">
        <f t="shared" si="12"/>
        <v>17901.298124010584</v>
      </c>
      <c r="K55" s="221">
        <f t="shared" si="12"/>
        <v>24384.885579513226</v>
      </c>
      <c r="L55" s="221">
        <f t="shared" si="12"/>
        <v>32963.032296952246</v>
      </c>
      <c r="M55" s="192"/>
    </row>
    <row r="56" spans="1:13" x14ac:dyDescent="0.2">
      <c r="A56" s="192"/>
      <c r="B56" s="192"/>
      <c r="C56" s="192"/>
      <c r="D56" s="192"/>
      <c r="E56" s="192"/>
      <c r="F56" s="192"/>
      <c r="G56" s="294"/>
      <c r="H56" s="192"/>
      <c r="I56" s="192"/>
      <c r="J56" s="192"/>
      <c r="K56" s="192"/>
      <c r="L56" s="192"/>
      <c r="M56" s="192"/>
    </row>
    <row r="57" spans="1:13" x14ac:dyDescent="0.2">
      <c r="A57" s="192"/>
      <c r="B57" s="192" t="s">
        <v>571</v>
      </c>
      <c r="C57" s="192"/>
      <c r="D57" s="192"/>
      <c r="E57" s="260">
        <f>E47-E52</f>
        <v>11494</v>
      </c>
      <c r="F57" s="260">
        <f t="shared" ref="F57:L57" si="13">F47-F52</f>
        <v>18649</v>
      </c>
      <c r="G57" s="321">
        <f t="shared" si="13"/>
        <v>16900</v>
      </c>
      <c r="H57" s="260">
        <f t="shared" si="13"/>
        <v>22107.416490238942</v>
      </c>
      <c r="I57" s="260">
        <f t="shared" si="13"/>
        <v>28919.400229165007</v>
      </c>
      <c r="J57" s="260">
        <f t="shared" si="13"/>
        <v>37830.368373613157</v>
      </c>
      <c r="K57" s="260">
        <f t="shared" si="13"/>
        <v>49487.083409149658</v>
      </c>
      <c r="L57" s="260">
        <f t="shared" si="13"/>
        <v>64735.595491909182</v>
      </c>
      <c r="M57" s="192"/>
    </row>
    <row r="58" spans="1:13" x14ac:dyDescent="0.2">
      <c r="A58" s="192"/>
      <c r="B58" s="192" t="s">
        <v>572</v>
      </c>
      <c r="C58" s="192"/>
      <c r="D58" s="192"/>
      <c r="E58" s="260">
        <f t="shared" ref="E58:L60" si="14">E48-E53</f>
        <v>-2265.5</v>
      </c>
      <c r="F58" s="260">
        <f t="shared" si="14"/>
        <v>-4272</v>
      </c>
      <c r="G58" s="321">
        <f t="shared" si="14"/>
        <v>-3493</v>
      </c>
      <c r="H58" s="260">
        <f t="shared" si="14"/>
        <v>-3842.3</v>
      </c>
      <c r="I58" s="260">
        <f t="shared" si="14"/>
        <v>-4226.5300000000007</v>
      </c>
      <c r="J58" s="260">
        <f t="shared" si="14"/>
        <v>-4649.1830000000009</v>
      </c>
      <c r="K58" s="260">
        <f t="shared" si="14"/>
        <v>-5114.1013000000012</v>
      </c>
      <c r="L58" s="260">
        <f t="shared" si="14"/>
        <v>-5625.5114300000014</v>
      </c>
      <c r="M58" s="192"/>
    </row>
    <row r="59" spans="1:13" x14ac:dyDescent="0.2">
      <c r="A59" s="192"/>
      <c r="B59" s="317" t="s">
        <v>354</v>
      </c>
      <c r="C59" s="317"/>
      <c r="D59" s="317"/>
      <c r="E59" s="322"/>
      <c r="F59" s="322"/>
      <c r="G59" s="323"/>
      <c r="H59" s="322">
        <f t="shared" si="14"/>
        <v>0</v>
      </c>
      <c r="I59" s="322">
        <f t="shared" si="14"/>
        <v>0</v>
      </c>
      <c r="J59" s="322">
        <f t="shared" si="14"/>
        <v>0</v>
      </c>
      <c r="K59" s="322">
        <f t="shared" si="14"/>
        <v>0</v>
      </c>
      <c r="L59" s="322">
        <f t="shared" si="14"/>
        <v>0</v>
      </c>
      <c r="M59" s="235"/>
    </row>
    <row r="60" spans="1:13" x14ac:dyDescent="0.2">
      <c r="A60" s="192"/>
      <c r="B60" s="216" t="s">
        <v>355</v>
      </c>
      <c r="C60" s="192"/>
      <c r="D60" s="192"/>
      <c r="E60" s="324">
        <f t="shared" si="14"/>
        <v>9228.5</v>
      </c>
      <c r="F60" s="324">
        <f t="shared" si="14"/>
        <v>14377</v>
      </c>
      <c r="G60" s="325">
        <f t="shared" si="14"/>
        <v>13407</v>
      </c>
      <c r="H60" s="324">
        <f t="shared" si="14"/>
        <v>18265.116490238943</v>
      </c>
      <c r="I60" s="324">
        <f t="shared" si="14"/>
        <v>24692.870229165012</v>
      </c>
      <c r="J60" s="324">
        <f t="shared" si="14"/>
        <v>33181.18537361316</v>
      </c>
      <c r="K60" s="324">
        <f t="shared" si="14"/>
        <v>44372.982109149656</v>
      </c>
      <c r="L60" s="324">
        <f t="shared" si="14"/>
        <v>59110.084061909183</v>
      </c>
      <c r="M60" s="192"/>
    </row>
    <row r="61" spans="1:13" x14ac:dyDescent="0.2">
      <c r="A61" s="192"/>
      <c r="B61" s="192"/>
      <c r="C61" s="192"/>
      <c r="D61" s="192"/>
      <c r="E61" s="192"/>
      <c r="F61" s="192"/>
      <c r="G61" s="294"/>
      <c r="H61" s="192"/>
      <c r="I61" s="192"/>
      <c r="J61" s="192"/>
      <c r="K61" s="192"/>
      <c r="L61" s="192"/>
      <c r="M61" s="192"/>
    </row>
    <row r="62" spans="1:13" x14ac:dyDescent="0.2">
      <c r="A62" s="192"/>
      <c r="B62" s="192" t="s">
        <v>573</v>
      </c>
      <c r="C62" s="192"/>
      <c r="D62" s="192"/>
      <c r="E62" s="223">
        <f>NVDA!C23</f>
        <v>5780</v>
      </c>
      <c r="F62" s="223">
        <f>NVDA!D23</f>
        <v>7434</v>
      </c>
      <c r="G62" s="316">
        <f>NVDA!E23</f>
        <v>9779</v>
      </c>
      <c r="H62" s="223">
        <f>NVDA!F23</f>
        <v>12792.214547813408</v>
      </c>
      <c r="I62" s="223">
        <f>NVDA!G23</f>
        <v>16733.894369290214</v>
      </c>
      <c r="J62" s="223">
        <f>NVDA!H23</f>
        <v>21890.128539974146</v>
      </c>
      <c r="K62" s="223">
        <f>NVDA!I23</f>
        <v>28635.159092193757</v>
      </c>
      <c r="L62" s="223">
        <f>NVDA!J23</f>
        <v>37458.543687300582</v>
      </c>
      <c r="M62" s="192"/>
    </row>
    <row r="63" spans="1:13" x14ac:dyDescent="0.2">
      <c r="A63" s="192"/>
      <c r="B63" s="192" t="s">
        <v>574</v>
      </c>
      <c r="C63" s="192"/>
      <c r="D63" s="192"/>
      <c r="E63" s="260">
        <f>-E31+E34</f>
        <v>-1570.5655172413794</v>
      </c>
      <c r="F63" s="260">
        <f t="shared" ref="F63:L63" si="15">-F31+F34</f>
        <v>-2359.9649253176785</v>
      </c>
      <c r="G63" s="321">
        <f t="shared" si="15"/>
        <v>-2532.6645658782531</v>
      </c>
      <c r="H63" s="260">
        <f t="shared" si="15"/>
        <v>-1921.15</v>
      </c>
      <c r="I63" s="260">
        <f t="shared" si="15"/>
        <v>-2113.2650000000003</v>
      </c>
      <c r="J63" s="260">
        <f t="shared" si="15"/>
        <v>-2324.5915000000005</v>
      </c>
      <c r="K63" s="260">
        <f t="shared" si="15"/>
        <v>-2557.0506500000006</v>
      </c>
      <c r="L63" s="260">
        <f t="shared" si="15"/>
        <v>-2812.7557150000007</v>
      </c>
      <c r="M63" s="192"/>
    </row>
    <row r="64" spans="1:13" x14ac:dyDescent="0.2">
      <c r="A64" s="192"/>
      <c r="B64" s="317" t="s">
        <v>358</v>
      </c>
      <c r="C64" s="317"/>
      <c r="D64" s="317"/>
      <c r="E64" s="318"/>
      <c r="F64" s="318"/>
      <c r="G64" s="319"/>
      <c r="H64" s="318">
        <f>-SUM(H62:H63)*(INDEX(H98:H100,MATCH($C$12,$D$98:$D$100,0)))</f>
        <v>0</v>
      </c>
      <c r="I64" s="318">
        <f>-SUM(I62:I63)*(INDEX(I98:I100,MATCH($C$12,$D$98:$D$100,0)))</f>
        <v>0</v>
      </c>
      <c r="J64" s="318">
        <f>-SUM(J62:J63)*(INDEX(J98:J100,MATCH($C$12,$D$98:$D$100,0)))</f>
        <v>0</v>
      </c>
      <c r="K64" s="318">
        <f>-SUM(K62:K63)*(INDEX(K98:K100,MATCH($C$12,$D$98:$D$100,0)))</f>
        <v>0</v>
      </c>
      <c r="L64" s="318">
        <f>-SUM(L62:L63)*(INDEX(L98:L100,MATCH($C$12,$D$98:$D$100,0)))</f>
        <v>0</v>
      </c>
      <c r="M64" s="192"/>
    </row>
    <row r="65" spans="1:13" x14ac:dyDescent="0.2">
      <c r="A65" s="192"/>
      <c r="B65" s="216" t="s">
        <v>359</v>
      </c>
      <c r="C65" s="192"/>
      <c r="D65" s="192"/>
      <c r="E65" s="221">
        <f>SUM(E62:E64)</f>
        <v>4209.434482758621</v>
      </c>
      <c r="F65" s="221">
        <f t="shared" ref="F65:L65" si="16">SUM(F62:F64)</f>
        <v>5074.0350746823215</v>
      </c>
      <c r="G65" s="320">
        <f t="shared" si="16"/>
        <v>7246.3354341217473</v>
      </c>
      <c r="H65" s="221">
        <f t="shared" si="16"/>
        <v>10871.064547813408</v>
      </c>
      <c r="I65" s="221">
        <f t="shared" si="16"/>
        <v>14620.629369290215</v>
      </c>
      <c r="J65" s="221">
        <f t="shared" si="16"/>
        <v>19565.537039974144</v>
      </c>
      <c r="K65" s="221">
        <f t="shared" si="16"/>
        <v>26078.108442193756</v>
      </c>
      <c r="L65" s="221">
        <f t="shared" si="16"/>
        <v>34645.787972300583</v>
      </c>
      <c r="M65" s="192"/>
    </row>
    <row r="66" spans="1:13" x14ac:dyDescent="0.2">
      <c r="A66" s="192"/>
      <c r="B66" s="192"/>
      <c r="C66" s="192"/>
      <c r="D66" s="192"/>
      <c r="E66" s="192"/>
      <c r="F66" s="192"/>
      <c r="G66" s="294"/>
      <c r="H66" s="235"/>
      <c r="I66" s="235"/>
      <c r="J66" s="235"/>
      <c r="K66" s="192"/>
      <c r="L66" s="192"/>
      <c r="M66" s="192"/>
    </row>
    <row r="67" spans="1:13" x14ac:dyDescent="0.2">
      <c r="A67" s="192"/>
      <c r="B67" s="192" t="s">
        <v>575</v>
      </c>
      <c r="C67" s="192"/>
      <c r="D67" s="192"/>
      <c r="E67" s="260">
        <f>E57-E62</f>
        <v>5714</v>
      </c>
      <c r="F67" s="260">
        <f t="shared" ref="F67:L67" si="17">F57-F62</f>
        <v>11215</v>
      </c>
      <c r="G67" s="321">
        <f t="shared" si="17"/>
        <v>7121</v>
      </c>
      <c r="H67" s="260">
        <f t="shared" si="17"/>
        <v>9315.2019424255341</v>
      </c>
      <c r="I67" s="260">
        <f t="shared" si="17"/>
        <v>12185.505859874793</v>
      </c>
      <c r="J67" s="260">
        <f t="shared" si="17"/>
        <v>15940.239833639011</v>
      </c>
      <c r="K67" s="260">
        <f t="shared" si="17"/>
        <v>20851.924316955901</v>
      </c>
      <c r="L67" s="260">
        <f t="shared" si="17"/>
        <v>27277.0518046086</v>
      </c>
      <c r="M67" s="192"/>
    </row>
    <row r="68" spans="1:13" x14ac:dyDescent="0.2">
      <c r="A68" s="192"/>
      <c r="B68" s="192" t="s">
        <v>576</v>
      </c>
      <c r="C68" s="192"/>
      <c r="D68" s="192"/>
      <c r="E68" s="260">
        <f t="shared" ref="E68:L68" si="18">E58-E63</f>
        <v>-694.93448275862056</v>
      </c>
      <c r="F68" s="260">
        <f t="shared" si="18"/>
        <v>-1912.0350746823215</v>
      </c>
      <c r="G68" s="321">
        <f t="shared" si="18"/>
        <v>-960.33543412174686</v>
      </c>
      <c r="H68" s="260">
        <f t="shared" si="18"/>
        <v>-1921.15</v>
      </c>
      <c r="I68" s="260">
        <f t="shared" si="18"/>
        <v>-2113.2650000000003</v>
      </c>
      <c r="J68" s="260">
        <f t="shared" si="18"/>
        <v>-2324.5915000000005</v>
      </c>
      <c r="K68" s="260">
        <f t="shared" si="18"/>
        <v>-2557.0506500000006</v>
      </c>
      <c r="L68" s="260">
        <f t="shared" si="18"/>
        <v>-2812.7557150000007</v>
      </c>
      <c r="M68" s="192"/>
    </row>
    <row r="69" spans="1:13" x14ac:dyDescent="0.2">
      <c r="A69" s="192"/>
      <c r="B69" s="317" t="s">
        <v>362</v>
      </c>
      <c r="C69" s="317"/>
      <c r="D69" s="317"/>
      <c r="E69" s="322"/>
      <c r="F69" s="322"/>
      <c r="G69" s="323"/>
      <c r="H69" s="322">
        <f>H70-H67-H68</f>
        <v>0</v>
      </c>
      <c r="I69" s="322">
        <f>I70-I67-I68</f>
        <v>4.5474735088646412E-12</v>
      </c>
      <c r="J69" s="322">
        <f>J70-J67-J68</f>
        <v>5.4569682106375694E-12</v>
      </c>
      <c r="K69" s="322">
        <f>K70-K67-K68</f>
        <v>0</v>
      </c>
      <c r="L69" s="322">
        <f>L70-L67-L68</f>
        <v>0</v>
      </c>
      <c r="M69" s="192"/>
    </row>
    <row r="70" spans="1:13" x14ac:dyDescent="0.2">
      <c r="A70" s="192"/>
      <c r="B70" s="216" t="s">
        <v>363</v>
      </c>
      <c r="C70" s="192"/>
      <c r="D70" s="192"/>
      <c r="E70" s="324">
        <f t="shared" ref="E70:L70" si="19">E60-E65</f>
        <v>5019.065517241379</v>
      </c>
      <c r="F70" s="324">
        <f t="shared" si="19"/>
        <v>9302.9649253176794</v>
      </c>
      <c r="G70" s="325">
        <f t="shared" si="19"/>
        <v>6160.6645658782527</v>
      </c>
      <c r="H70" s="324">
        <f t="shared" si="19"/>
        <v>7394.0519424255344</v>
      </c>
      <c r="I70" s="324">
        <f t="shared" si="19"/>
        <v>10072.240859874797</v>
      </c>
      <c r="J70" s="324">
        <f t="shared" si="19"/>
        <v>13615.648333639016</v>
      </c>
      <c r="K70" s="324">
        <f t="shared" si="19"/>
        <v>18294.8736669559</v>
      </c>
      <c r="L70" s="324">
        <f t="shared" si="19"/>
        <v>24464.296089608601</v>
      </c>
      <c r="M70" s="192"/>
    </row>
    <row r="71" spans="1:13" x14ac:dyDescent="0.2">
      <c r="A71" s="192"/>
      <c r="B71" s="192"/>
      <c r="C71" s="192"/>
      <c r="D71" s="192"/>
      <c r="E71" s="192"/>
      <c r="F71" s="192"/>
      <c r="G71" s="294"/>
      <c r="H71" s="192"/>
      <c r="I71" s="192"/>
      <c r="J71" s="192"/>
      <c r="K71" s="192"/>
      <c r="L71" s="192"/>
      <c r="M71" s="192"/>
    </row>
    <row r="72" spans="1:13" x14ac:dyDescent="0.2">
      <c r="A72" s="192"/>
      <c r="B72" s="192" t="s">
        <v>364</v>
      </c>
      <c r="C72" s="192"/>
      <c r="D72" s="192"/>
      <c r="E72" s="326"/>
      <c r="F72" s="326"/>
      <c r="G72" s="327"/>
      <c r="H72" s="235">
        <f>NVDA!F29</f>
        <v>782.30472265316394</v>
      </c>
      <c r="I72" s="235">
        <f>NVDA!G29</f>
        <v>1183.1549891432173</v>
      </c>
      <c r="J72" s="235">
        <f>NVDA!H29</f>
        <v>1707.519710534867</v>
      </c>
      <c r="K72" s="235">
        <f>NVDA!I29</f>
        <v>2393.4575382622816</v>
      </c>
      <c r="L72" s="235">
        <f>NVDA!J29</f>
        <v>3290.7541799178866</v>
      </c>
      <c r="M72" s="192"/>
    </row>
    <row r="73" spans="1:13" x14ac:dyDescent="0.2">
      <c r="A73" s="192"/>
      <c r="B73" s="317" t="s">
        <v>577</v>
      </c>
      <c r="C73" s="317"/>
      <c r="D73" s="317"/>
      <c r="E73" s="328"/>
      <c r="F73" s="328"/>
      <c r="G73" s="329"/>
      <c r="H73" s="318">
        <f>-H34*0.9</f>
        <v>0</v>
      </c>
      <c r="I73" s="318">
        <f>-I34*0.9</f>
        <v>0</v>
      </c>
      <c r="J73" s="318">
        <f>-J34*0.9</f>
        <v>0</v>
      </c>
      <c r="K73" s="318">
        <f>-K34*0.9</f>
        <v>0</v>
      </c>
      <c r="L73" s="318">
        <f>-L34*0.9</f>
        <v>0</v>
      </c>
      <c r="M73" s="192"/>
    </row>
    <row r="74" spans="1:13" x14ac:dyDescent="0.2">
      <c r="A74" s="192"/>
      <c r="B74" s="192" t="s">
        <v>178</v>
      </c>
      <c r="C74" s="192"/>
      <c r="D74" s="192"/>
      <c r="E74" s="326"/>
      <c r="F74" s="326"/>
      <c r="G74" s="327"/>
      <c r="H74" s="235">
        <f>SUM(H72:H73)</f>
        <v>782.30472265316394</v>
      </c>
      <c r="I74" s="235">
        <f>SUM(I72:I73)</f>
        <v>1183.1549891432173</v>
      </c>
      <c r="J74" s="235">
        <f>SUM(J72:J73)</f>
        <v>1707.519710534867</v>
      </c>
      <c r="K74" s="235">
        <f>SUM(K72:K73)</f>
        <v>2393.4575382622816</v>
      </c>
      <c r="L74" s="235">
        <f>SUM(L72:L73)</f>
        <v>3290.7541799178866</v>
      </c>
      <c r="M74" s="192"/>
    </row>
    <row r="75" spans="1:13" x14ac:dyDescent="0.2">
      <c r="A75" s="192"/>
      <c r="B75" s="192"/>
      <c r="C75" s="192"/>
      <c r="D75" s="192"/>
      <c r="E75" s="243"/>
      <c r="F75" s="243"/>
      <c r="G75" s="330"/>
      <c r="H75" s="192"/>
      <c r="I75" s="192"/>
      <c r="J75" s="192"/>
      <c r="K75" s="192"/>
      <c r="L75" s="192"/>
      <c r="M75" s="192"/>
    </row>
    <row r="76" spans="1:13" x14ac:dyDescent="0.2">
      <c r="A76" s="192"/>
      <c r="B76" s="192" t="s">
        <v>367</v>
      </c>
      <c r="C76" s="192"/>
      <c r="D76" s="192"/>
      <c r="E76" s="326"/>
      <c r="F76" s="326"/>
      <c r="G76" s="327"/>
      <c r="H76" s="235">
        <f>NVDA!F30</f>
        <v>699</v>
      </c>
      <c r="I76" s="235">
        <f>NVDA!G30</f>
        <v>699</v>
      </c>
      <c r="J76" s="235">
        <f>NVDA!H30</f>
        <v>699</v>
      </c>
      <c r="K76" s="235">
        <f>NVDA!I30</f>
        <v>699</v>
      </c>
      <c r="L76" s="235">
        <f>NVDA!J30</f>
        <v>699</v>
      </c>
      <c r="M76" s="192"/>
    </row>
    <row r="77" spans="1:13" x14ac:dyDescent="0.2">
      <c r="A77" s="192"/>
      <c r="B77" s="317" t="s">
        <v>578</v>
      </c>
      <c r="C77" s="317"/>
      <c r="D77" s="317"/>
      <c r="E77" s="328"/>
      <c r="F77" s="328"/>
      <c r="G77" s="329"/>
      <c r="H77" s="318">
        <f>-H34*0.1</f>
        <v>0</v>
      </c>
      <c r="I77" s="318">
        <f>-I34*0.1</f>
        <v>0</v>
      </c>
      <c r="J77" s="318">
        <f>-J34*0.1</f>
        <v>0</v>
      </c>
      <c r="K77" s="318">
        <f>-K34*0.1</f>
        <v>0</v>
      </c>
      <c r="L77" s="318">
        <f>-L34*0.1</f>
        <v>0</v>
      </c>
      <c r="M77" s="192"/>
    </row>
    <row r="78" spans="1:13" x14ac:dyDescent="0.2">
      <c r="A78" s="192"/>
      <c r="B78" s="192" t="s">
        <v>370</v>
      </c>
      <c r="C78" s="192"/>
      <c r="D78" s="192"/>
      <c r="E78" s="326"/>
      <c r="F78" s="326"/>
      <c r="G78" s="327"/>
      <c r="H78" s="235">
        <f>SUM(H76:H77)</f>
        <v>699</v>
      </c>
      <c r="I78" s="235">
        <f>SUM(I76:I77)</f>
        <v>699</v>
      </c>
      <c r="J78" s="235">
        <f>SUM(J76:J77)</f>
        <v>699</v>
      </c>
      <c r="K78" s="235">
        <f>SUM(K76:K77)</f>
        <v>699</v>
      </c>
      <c r="L78" s="235">
        <f>SUM(L76:L77)</f>
        <v>699</v>
      </c>
      <c r="M78" s="192"/>
    </row>
    <row r="79" spans="1:13" x14ac:dyDescent="0.2">
      <c r="A79" s="192"/>
      <c r="B79" s="192"/>
      <c r="C79" s="192"/>
      <c r="D79" s="192"/>
      <c r="E79" s="243"/>
      <c r="F79" s="243"/>
      <c r="G79" s="330"/>
      <c r="H79" s="192"/>
      <c r="I79" s="192"/>
      <c r="J79" s="192"/>
      <c r="K79" s="192"/>
      <c r="L79" s="192"/>
      <c r="M79" s="192"/>
    </row>
    <row r="80" spans="1:13" x14ac:dyDescent="0.2">
      <c r="A80" s="192"/>
      <c r="B80" s="192" t="s">
        <v>579</v>
      </c>
      <c r="C80" s="192"/>
      <c r="D80" s="192"/>
      <c r="E80" s="331"/>
      <c r="F80" s="331"/>
      <c r="G80" s="332"/>
      <c r="H80" s="235">
        <f t="shared" ref="H80:L81" si="20">H67-H72-H76</f>
        <v>7833.8972197723706</v>
      </c>
      <c r="I80" s="235">
        <f t="shared" si="20"/>
        <v>10303.350870731576</v>
      </c>
      <c r="J80" s="235">
        <f t="shared" si="20"/>
        <v>13533.720123104144</v>
      </c>
      <c r="K80" s="235">
        <f t="shared" si="20"/>
        <v>17759.466778693619</v>
      </c>
      <c r="L80" s="235">
        <f t="shared" si="20"/>
        <v>23287.297624690713</v>
      </c>
      <c r="M80" s="192"/>
    </row>
    <row r="81" spans="1:13" x14ac:dyDescent="0.2">
      <c r="A81" s="199" t="s">
        <v>190</v>
      </c>
      <c r="B81" s="192" t="s">
        <v>580</v>
      </c>
      <c r="C81" s="192"/>
      <c r="D81" s="192"/>
      <c r="E81" s="331"/>
      <c r="F81" s="331"/>
      <c r="G81" s="332"/>
      <c r="H81" s="235">
        <f t="shared" si="20"/>
        <v>-1921.15</v>
      </c>
      <c r="I81" s="235">
        <f t="shared" si="20"/>
        <v>-2113.2650000000003</v>
      </c>
      <c r="J81" s="235">
        <f t="shared" si="20"/>
        <v>-2324.5915000000005</v>
      </c>
      <c r="K81" s="235">
        <f t="shared" si="20"/>
        <v>-2557.0506500000006</v>
      </c>
      <c r="L81" s="235">
        <f t="shared" si="20"/>
        <v>-2812.7557150000007</v>
      </c>
      <c r="M81" s="192"/>
    </row>
    <row r="82" spans="1:13" x14ac:dyDescent="0.2">
      <c r="A82" s="192"/>
      <c r="B82" s="317" t="s">
        <v>373</v>
      </c>
      <c r="C82" s="317"/>
      <c r="D82" s="317"/>
      <c r="E82" s="328"/>
      <c r="F82" s="328"/>
      <c r="G82" s="329"/>
      <c r="H82" s="333">
        <f>H83-H80-H81</f>
        <v>0</v>
      </c>
      <c r="I82" s="333">
        <f>I83-I80-I81</f>
        <v>4.5474735088646412E-12</v>
      </c>
      <c r="J82" s="333">
        <f>J83-J80-J81</f>
        <v>5.4569682106375694E-12</v>
      </c>
      <c r="K82" s="333">
        <f>K83-K80-K81</f>
        <v>0</v>
      </c>
      <c r="L82" s="333">
        <f>L83-L80-L81</f>
        <v>0</v>
      </c>
      <c r="M82" s="192"/>
    </row>
    <row r="83" spans="1:13" x14ac:dyDescent="0.2">
      <c r="A83" s="192"/>
      <c r="B83" s="216" t="s">
        <v>374</v>
      </c>
      <c r="C83" s="192"/>
      <c r="D83" s="192"/>
      <c r="E83" s="331"/>
      <c r="F83" s="331"/>
      <c r="G83" s="332"/>
      <c r="H83" s="221">
        <f>H70-H74-H78</f>
        <v>5912.747219772371</v>
      </c>
      <c r="I83" s="221">
        <f>I70-I74-I78</f>
        <v>8190.0858707315801</v>
      </c>
      <c r="J83" s="221">
        <f>J70-J74-J78</f>
        <v>11209.128623104149</v>
      </c>
      <c r="K83" s="221">
        <f>K70-K74-K78</f>
        <v>15202.416128693618</v>
      </c>
      <c r="L83" s="221">
        <f>L70-L74-L78</f>
        <v>20474.541909690714</v>
      </c>
      <c r="M83" s="192"/>
    </row>
    <row r="84" spans="1:13" x14ac:dyDescent="0.2">
      <c r="A84" s="192"/>
      <c r="B84" s="192"/>
      <c r="C84" s="192"/>
      <c r="D84" s="192"/>
      <c r="E84" s="334"/>
      <c r="F84" s="334"/>
      <c r="G84" s="335"/>
      <c r="H84" s="192"/>
      <c r="I84" s="192"/>
      <c r="J84" s="192"/>
      <c r="K84" s="192"/>
      <c r="L84" s="192"/>
      <c r="M84" s="192"/>
    </row>
    <row r="85" spans="1:13" x14ac:dyDescent="0.2">
      <c r="A85" s="192"/>
      <c r="B85" s="228" t="s">
        <v>375</v>
      </c>
      <c r="C85" s="228"/>
      <c r="D85" s="192"/>
      <c r="E85" s="331"/>
      <c r="F85" s="331"/>
      <c r="G85" s="332"/>
      <c r="H85" s="260">
        <f ca="1">H218</f>
        <v>192.78837816030912</v>
      </c>
      <c r="I85" s="260">
        <f ca="1">I218</f>
        <v>98.818810678384594</v>
      </c>
      <c r="J85" s="260">
        <f ca="1">J218</f>
        <v>29.521727544618077</v>
      </c>
      <c r="K85" s="260">
        <f ca="1">K218</f>
        <v>-24.744191716422023</v>
      </c>
      <c r="L85" s="260">
        <f ca="1">L218</f>
        <v>-79.693020716254097</v>
      </c>
      <c r="M85" s="192"/>
    </row>
    <row r="86" spans="1:13" x14ac:dyDescent="0.2">
      <c r="A86" s="192"/>
      <c r="B86" s="267" t="s">
        <v>376</v>
      </c>
      <c r="C86" s="267"/>
      <c r="D86" s="317"/>
      <c r="E86" s="331"/>
      <c r="F86" s="331"/>
      <c r="G86" s="332"/>
      <c r="H86" s="300">
        <v>0</v>
      </c>
      <c r="I86" s="260">
        <f>H86</f>
        <v>0</v>
      </c>
      <c r="J86" s="260">
        <f>I86</f>
        <v>0</v>
      </c>
      <c r="K86" s="260">
        <f>J86</f>
        <v>0</v>
      </c>
      <c r="L86" s="260">
        <f>K86</f>
        <v>0</v>
      </c>
      <c r="M86" s="192"/>
    </row>
    <row r="87" spans="1:13" x14ac:dyDescent="0.2">
      <c r="A87" s="192"/>
      <c r="B87" s="228" t="s">
        <v>377</v>
      </c>
      <c r="C87" s="228"/>
      <c r="D87" s="192"/>
      <c r="E87" s="336"/>
      <c r="F87" s="336"/>
      <c r="G87" s="337"/>
      <c r="H87" s="338">
        <f ca="1">H83-H85-H86</f>
        <v>5719.9588416120614</v>
      </c>
      <c r="I87" s="338">
        <f ca="1">I83-I85-I86</f>
        <v>8091.2670600531956</v>
      </c>
      <c r="J87" s="338">
        <f ca="1">J83-J85-J86</f>
        <v>11179.606895559531</v>
      </c>
      <c r="K87" s="338">
        <f ca="1">K83-K85-K86</f>
        <v>15227.160320410039</v>
      </c>
      <c r="L87" s="338">
        <f ca="1">L83-L85-L86</f>
        <v>20554.234930406968</v>
      </c>
      <c r="M87" s="192"/>
    </row>
    <row r="88" spans="1:13" x14ac:dyDescent="0.2">
      <c r="A88" s="192"/>
      <c r="B88" s="267" t="s">
        <v>378</v>
      </c>
      <c r="C88" s="267"/>
      <c r="D88" s="317"/>
      <c r="E88" s="331"/>
      <c r="F88" s="331"/>
      <c r="G88" s="332"/>
      <c r="H88" s="260">
        <f ca="1">H230</f>
        <v>816.14641265690761</v>
      </c>
      <c r="I88" s="260">
        <f ca="1">I230</f>
        <v>1615.8713571390279</v>
      </c>
      <c r="J88" s="260">
        <f ca="1">J230</f>
        <v>2349.0590675909129</v>
      </c>
      <c r="K88" s="260">
        <f ca="1">K230</f>
        <v>3310.2927175870946</v>
      </c>
      <c r="L88" s="260">
        <f ca="1">L230</f>
        <v>4898.3598036072262</v>
      </c>
      <c r="M88" s="192"/>
    </row>
    <row r="89" spans="1:13" x14ac:dyDescent="0.2">
      <c r="A89" s="228" t="s">
        <v>183</v>
      </c>
      <c r="B89" s="297" t="s">
        <v>35</v>
      </c>
      <c r="C89" s="297"/>
      <c r="D89" s="192"/>
      <c r="E89" s="339"/>
      <c r="F89" s="339"/>
      <c r="G89" s="340"/>
      <c r="H89" s="226">
        <f ca="1">H87-H88</f>
        <v>4903.8124289551542</v>
      </c>
      <c r="I89" s="226">
        <f ca="1">I87-I88</f>
        <v>6475.3957029141675</v>
      </c>
      <c r="J89" s="226">
        <f ca="1">J87-J88</f>
        <v>8830.5478279686176</v>
      </c>
      <c r="K89" s="226">
        <f ca="1">K87-K88</f>
        <v>11916.867602822946</v>
      </c>
      <c r="L89" s="226">
        <f ca="1">L87-L88</f>
        <v>15655.875126799743</v>
      </c>
      <c r="M89" s="192"/>
    </row>
    <row r="90" spans="1:13" x14ac:dyDescent="0.2">
      <c r="A90" s="192"/>
      <c r="B90" s="192"/>
      <c r="C90" s="192"/>
      <c r="D90" s="192"/>
      <c r="E90" s="192"/>
      <c r="F90" s="192"/>
      <c r="G90" s="294"/>
      <c r="H90" s="192"/>
      <c r="I90" s="192"/>
      <c r="J90" s="192"/>
      <c r="K90" s="192"/>
      <c r="L90" s="192"/>
      <c r="M90" s="192"/>
    </row>
    <row r="91" spans="1:13" x14ac:dyDescent="0.2">
      <c r="A91" s="192"/>
      <c r="B91" s="192"/>
      <c r="C91" s="192"/>
      <c r="D91" s="341" t="s">
        <v>38</v>
      </c>
      <c r="E91" s="192"/>
      <c r="F91" s="192"/>
      <c r="G91" s="294"/>
      <c r="H91" s="192"/>
      <c r="I91" s="192"/>
      <c r="J91" s="192"/>
      <c r="K91" s="192"/>
      <c r="L91" s="192"/>
      <c r="M91" s="192"/>
    </row>
    <row r="92" spans="1:13" x14ac:dyDescent="0.2">
      <c r="A92" s="192"/>
      <c r="B92" s="192"/>
      <c r="C92" s="192"/>
      <c r="D92" s="228" t="s">
        <v>318</v>
      </c>
      <c r="E92" s="342"/>
      <c r="F92" s="343"/>
      <c r="G92" s="294"/>
      <c r="H92" s="192"/>
      <c r="I92" s="192"/>
      <c r="J92" s="192"/>
      <c r="K92" s="192"/>
      <c r="L92" s="192"/>
      <c r="M92" s="192"/>
    </row>
    <row r="93" spans="1:13" x14ac:dyDescent="0.2">
      <c r="A93" s="192"/>
      <c r="B93" s="192"/>
      <c r="C93" s="192"/>
      <c r="D93" s="344" t="s">
        <v>40</v>
      </c>
      <c r="E93" s="345"/>
      <c r="F93" s="346"/>
      <c r="G93" s="347"/>
      <c r="H93" s="348">
        <f>J93*(1/3)</f>
        <v>1.6666666666666666E-2</v>
      </c>
      <c r="I93" s="343">
        <f>J93*(2/3)</f>
        <v>3.3333333333333333E-2</v>
      </c>
      <c r="J93" s="349">
        <v>0.05</v>
      </c>
      <c r="K93" s="343">
        <f t="shared" ref="K93:L95" si="21">J93</f>
        <v>0.05</v>
      </c>
      <c r="L93" s="343">
        <f t="shared" si="21"/>
        <v>0.05</v>
      </c>
      <c r="M93" s="192"/>
    </row>
    <row r="94" spans="1:13" x14ac:dyDescent="0.2">
      <c r="A94" s="192"/>
      <c r="B94" s="192"/>
      <c r="C94" s="192"/>
      <c r="D94" s="344" t="s">
        <v>9</v>
      </c>
      <c r="E94" s="345"/>
      <c r="F94" s="346"/>
      <c r="G94" s="347"/>
      <c r="H94" s="348">
        <f>J94/3</f>
        <v>0</v>
      </c>
      <c r="I94" s="348">
        <f>J94*(2/3)</f>
        <v>0</v>
      </c>
      <c r="J94" s="349">
        <v>0</v>
      </c>
      <c r="K94" s="348">
        <f t="shared" si="21"/>
        <v>0</v>
      </c>
      <c r="L94" s="348">
        <f t="shared" si="21"/>
        <v>0</v>
      </c>
      <c r="M94" s="192"/>
    </row>
    <row r="95" spans="1:13" x14ac:dyDescent="0.2">
      <c r="A95" s="192"/>
      <c r="B95" s="192"/>
      <c r="C95" s="192"/>
      <c r="D95" s="344" t="s">
        <v>41</v>
      </c>
      <c r="E95" s="345"/>
      <c r="F95" s="346"/>
      <c r="G95" s="347"/>
      <c r="H95" s="348">
        <f>J95/3</f>
        <v>-1.6666666666666666E-2</v>
      </c>
      <c r="I95" s="348">
        <f>J95*(2/3)</f>
        <v>-3.3333333333333333E-2</v>
      </c>
      <c r="J95" s="349">
        <v>-0.05</v>
      </c>
      <c r="K95" s="348">
        <f t="shared" si="21"/>
        <v>-0.05</v>
      </c>
      <c r="L95" s="348">
        <f t="shared" si="21"/>
        <v>-0.05</v>
      </c>
      <c r="M95" s="192"/>
    </row>
    <row r="96" spans="1:13" x14ac:dyDescent="0.2">
      <c r="A96" s="192"/>
      <c r="B96" s="192"/>
      <c r="C96" s="192"/>
      <c r="D96" s="228" t="s">
        <v>42</v>
      </c>
      <c r="E96" s="343"/>
      <c r="F96" s="343"/>
      <c r="G96" s="350"/>
      <c r="H96" s="349">
        <v>0.5</v>
      </c>
      <c r="I96" s="343">
        <f>H96</f>
        <v>0.5</v>
      </c>
      <c r="J96" s="343">
        <f>I96</f>
        <v>0.5</v>
      </c>
      <c r="K96" s="343">
        <f>J96</f>
        <v>0.5</v>
      </c>
      <c r="L96" s="343">
        <f>K96</f>
        <v>0.5</v>
      </c>
      <c r="M96" s="192"/>
    </row>
    <row r="97" spans="1:13" x14ac:dyDescent="0.2">
      <c r="A97" s="192"/>
      <c r="B97" s="192"/>
      <c r="C97" s="192"/>
      <c r="D97" s="228" t="s">
        <v>321</v>
      </c>
      <c r="E97" s="342"/>
      <c r="F97" s="343"/>
      <c r="G97" s="350"/>
      <c r="H97" s="192"/>
      <c r="I97" s="192"/>
      <c r="J97" s="192"/>
      <c r="K97" s="192"/>
      <c r="L97" s="192"/>
      <c r="M97" s="192"/>
    </row>
    <row r="98" spans="1:13" x14ac:dyDescent="0.2">
      <c r="A98" s="192"/>
      <c r="B98" s="192"/>
      <c r="C98" s="192"/>
      <c r="D98" s="344" t="s">
        <v>40</v>
      </c>
      <c r="E98" s="345"/>
      <c r="F98" s="346"/>
      <c r="G98" s="347"/>
      <c r="H98" s="348">
        <f>J98*(1/3)</f>
        <v>6.6666666666666662E-3</v>
      </c>
      <c r="I98" s="343">
        <f>J98*(2/3)</f>
        <v>1.3333333333333332E-2</v>
      </c>
      <c r="J98" s="349">
        <v>0.02</v>
      </c>
      <c r="K98" s="343">
        <f t="shared" ref="K98:L100" si="22">J98</f>
        <v>0.02</v>
      </c>
      <c r="L98" s="343">
        <f t="shared" si="22"/>
        <v>0.02</v>
      </c>
      <c r="M98" s="192"/>
    </row>
    <row r="99" spans="1:13" x14ac:dyDescent="0.2">
      <c r="A99" s="192"/>
      <c r="B99" s="192"/>
      <c r="C99" s="192"/>
      <c r="D99" s="344" t="s">
        <v>9</v>
      </c>
      <c r="E99" s="345"/>
      <c r="F99" s="346"/>
      <c r="G99" s="347"/>
      <c r="H99" s="348">
        <f>J99/3</f>
        <v>0</v>
      </c>
      <c r="I99" s="343">
        <f>J99*(2/3)</f>
        <v>0</v>
      </c>
      <c r="J99" s="349">
        <v>0</v>
      </c>
      <c r="K99" s="343">
        <f t="shared" si="22"/>
        <v>0</v>
      </c>
      <c r="L99" s="343">
        <f t="shared" si="22"/>
        <v>0</v>
      </c>
      <c r="M99" s="192"/>
    </row>
    <row r="100" spans="1:13" x14ac:dyDescent="0.2">
      <c r="A100" s="228" t="s">
        <v>183</v>
      </c>
      <c r="B100" s="192"/>
      <c r="C100" s="192"/>
      <c r="D100" s="344" t="s">
        <v>41</v>
      </c>
      <c r="E100" s="345"/>
      <c r="F100" s="346"/>
      <c r="G100" s="347"/>
      <c r="H100" s="348">
        <f>J100/3</f>
        <v>-6.6666666666666671E-3</v>
      </c>
      <c r="I100" s="348">
        <f>J100*(2/3)</f>
        <v>-1.3333333333333332E-2</v>
      </c>
      <c r="J100" s="349">
        <v>-0.02</v>
      </c>
      <c r="K100" s="348">
        <f t="shared" si="22"/>
        <v>-0.02</v>
      </c>
      <c r="L100" s="348">
        <f t="shared" si="22"/>
        <v>-0.02</v>
      </c>
      <c r="M100" s="192"/>
    </row>
    <row r="101" spans="1:13" x14ac:dyDescent="0.2">
      <c r="A101" s="192"/>
      <c r="B101" s="192"/>
      <c r="C101" s="192"/>
      <c r="D101" s="344"/>
      <c r="E101" s="345"/>
      <c r="F101" s="346"/>
      <c r="G101" s="346"/>
      <c r="H101" s="348"/>
      <c r="I101" s="348"/>
      <c r="J101" s="349"/>
      <c r="K101" s="348"/>
      <c r="L101" s="348"/>
      <c r="M101" s="192"/>
    </row>
    <row r="102" spans="1:13" x14ac:dyDescent="0.2">
      <c r="A102" s="192"/>
      <c r="B102" s="200" t="s">
        <v>79</v>
      </c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192"/>
    </row>
    <row r="103" spans="1:13" x14ac:dyDescent="0.2">
      <c r="A103" s="192"/>
      <c r="B103" s="192"/>
      <c r="C103" s="192"/>
      <c r="D103" s="344"/>
      <c r="E103" s="274">
        <f>F103-1</f>
        <v>2020</v>
      </c>
      <c r="F103" s="274">
        <f>G103-1</f>
        <v>2021</v>
      </c>
      <c r="G103" s="274">
        <f>YEAR(D10)</f>
        <v>2022</v>
      </c>
      <c r="H103" s="351">
        <f>G103+1</f>
        <v>2023</v>
      </c>
      <c r="I103" s="279">
        <f>H103+1</f>
        <v>2024</v>
      </c>
      <c r="J103" s="279">
        <f>I103+1</f>
        <v>2025</v>
      </c>
      <c r="K103" s="279">
        <f>J103+1</f>
        <v>2026</v>
      </c>
      <c r="L103" s="279">
        <f>K103+1</f>
        <v>2027</v>
      </c>
      <c r="M103" s="192"/>
    </row>
    <row r="104" spans="1:13" x14ac:dyDescent="0.2">
      <c r="A104" s="192"/>
      <c r="B104" s="196" t="s">
        <v>80</v>
      </c>
      <c r="C104" s="192"/>
      <c r="D104" s="344"/>
      <c r="E104" s="345"/>
      <c r="F104" s="346"/>
      <c r="G104" s="346"/>
      <c r="H104" s="352"/>
      <c r="I104" s="348"/>
      <c r="J104" s="349"/>
      <c r="K104" s="348"/>
      <c r="L104" s="348"/>
      <c r="M104" s="192"/>
    </row>
    <row r="105" spans="1:13" x14ac:dyDescent="0.2">
      <c r="A105" s="192"/>
      <c r="B105" s="192" t="s">
        <v>292</v>
      </c>
      <c r="C105" s="192"/>
      <c r="D105" s="344"/>
      <c r="E105" s="345"/>
      <c r="F105" s="346"/>
      <c r="G105" s="288">
        <f>NVDA!E99</f>
        <v>3827</v>
      </c>
      <c r="H105" s="260">
        <f>H50*(H117/365)</f>
        <v>3915.9471368753684</v>
      </c>
      <c r="I105" s="260">
        <f t="shared" ref="I105:L105" si="23">I50*(I117/365)</f>
        <v>5349.491760507025</v>
      </c>
      <c r="J105" s="260">
        <f t="shared" si="23"/>
        <v>7247.4480739010169</v>
      </c>
      <c r="K105" s="260">
        <f t="shared" si="23"/>
        <v>9755.1849797772975</v>
      </c>
      <c r="L105" s="260">
        <f t="shared" si="23"/>
        <v>13063.090987816515</v>
      </c>
      <c r="M105" s="192"/>
    </row>
    <row r="106" spans="1:13" x14ac:dyDescent="0.2">
      <c r="A106" s="192"/>
      <c r="B106" s="192" t="s">
        <v>50</v>
      </c>
      <c r="C106" s="192"/>
      <c r="D106" s="344"/>
      <c r="E106" s="345"/>
      <c r="F106" s="346"/>
      <c r="G106" s="353">
        <f>NVDA!E100</f>
        <v>5159</v>
      </c>
      <c r="H106" s="533">
        <f>H55/H118</f>
        <v>4780.9668944793111</v>
      </c>
      <c r="I106" s="260">
        <f t="shared" ref="I106:L106" si="24">I55/I118</f>
        <v>6663.6676041524088</v>
      </c>
      <c r="J106" s="260">
        <f t="shared" si="24"/>
        <v>9167.4406414304758</v>
      </c>
      <c r="K106" s="260">
        <f t="shared" si="24"/>
        <v>12487.753097549012</v>
      </c>
      <c r="L106" s="260">
        <f t="shared" si="24"/>
        <v>16880.711099858709</v>
      </c>
      <c r="M106" s="192"/>
    </row>
    <row r="107" spans="1:13" x14ac:dyDescent="0.2">
      <c r="A107" s="192"/>
      <c r="B107" s="317" t="s">
        <v>293</v>
      </c>
      <c r="C107" s="317"/>
      <c r="D107" s="355"/>
      <c r="E107" s="356"/>
      <c r="F107" s="357"/>
      <c r="G107" s="358">
        <f>NVDA!E101</f>
        <v>791</v>
      </c>
      <c r="H107" s="533">
        <f>H50*H119</f>
        <v>809.38442259430792</v>
      </c>
      <c r="I107" s="260">
        <f t="shared" ref="I107:L107" si="25">I50*I119</f>
        <v>1105.6827756888049</v>
      </c>
      <c r="J107" s="260">
        <f t="shared" si="25"/>
        <v>1497.9700617861783</v>
      </c>
      <c r="K107" s="260">
        <f t="shared" si="25"/>
        <v>2016.2924794888536</v>
      </c>
      <c r="L107" s="260">
        <f t="shared" si="25"/>
        <v>2700.0012990234814</v>
      </c>
      <c r="M107" s="192"/>
    </row>
    <row r="108" spans="1:13" x14ac:dyDescent="0.2">
      <c r="A108" s="192"/>
      <c r="B108" s="192" t="s">
        <v>379</v>
      </c>
      <c r="C108" s="192"/>
      <c r="D108" s="344"/>
      <c r="E108" s="345"/>
      <c r="F108" s="346"/>
      <c r="G108" s="596">
        <f>SUM(G105:G107)</f>
        <v>9777</v>
      </c>
      <c r="H108" s="595">
        <f t="shared" ref="H108:L108" si="26">SUM(H105:H107)</f>
        <v>9506.298453948988</v>
      </c>
      <c r="I108" s="595">
        <f t="shared" si="26"/>
        <v>13118.842140348239</v>
      </c>
      <c r="J108" s="595">
        <f t="shared" si="26"/>
        <v>17912.858777117672</v>
      </c>
      <c r="K108" s="595">
        <f t="shared" si="26"/>
        <v>24259.230556815164</v>
      </c>
      <c r="L108" s="595">
        <f t="shared" si="26"/>
        <v>32643.803386698706</v>
      </c>
      <c r="M108" s="192"/>
    </row>
    <row r="109" spans="1:13" x14ac:dyDescent="0.2">
      <c r="A109" s="192"/>
      <c r="B109" s="192"/>
      <c r="C109" s="192"/>
      <c r="D109" s="344"/>
      <c r="E109" s="345"/>
      <c r="F109" s="346"/>
      <c r="G109" s="288"/>
      <c r="H109" s="260"/>
      <c r="I109" s="260"/>
      <c r="J109" s="260"/>
      <c r="K109" s="260"/>
      <c r="L109" s="260"/>
      <c r="M109" s="192"/>
    </row>
    <row r="110" spans="1:13" x14ac:dyDescent="0.2">
      <c r="A110" s="192"/>
      <c r="B110" s="192" t="s">
        <v>300</v>
      </c>
      <c r="C110" s="192"/>
      <c r="D110" s="344"/>
      <c r="E110" s="345"/>
      <c r="F110" s="346"/>
      <c r="G110" s="353">
        <f>NVDA!E104</f>
        <v>1193</v>
      </c>
      <c r="H110" s="533">
        <f>H55*(H121/365)</f>
        <v>1105.5812182814145</v>
      </c>
      <c r="I110" s="260">
        <f t="shared" ref="I110:L110" si="27">I55*(I121/365)</f>
        <v>1540.9489148582718</v>
      </c>
      <c r="J110" s="260">
        <f t="shared" si="27"/>
        <v>2119.937329952812</v>
      </c>
      <c r="K110" s="260">
        <f t="shared" si="27"/>
        <v>2887.7475180027077</v>
      </c>
      <c r="L110" s="260">
        <f t="shared" si="27"/>
        <v>3903.6030901592248</v>
      </c>
      <c r="M110" s="192"/>
    </row>
    <row r="111" spans="1:13" x14ac:dyDescent="0.2">
      <c r="A111" s="192"/>
      <c r="B111" s="317" t="s">
        <v>301</v>
      </c>
      <c r="C111" s="317"/>
      <c r="D111" s="355"/>
      <c r="E111" s="356"/>
      <c r="F111" s="357"/>
      <c r="G111" s="358">
        <f>NVDA!E105</f>
        <v>4120</v>
      </c>
      <c r="H111" s="533">
        <f>H55*H122</f>
        <v>3818.1011058838458</v>
      </c>
      <c r="I111" s="260">
        <f t="shared" ref="I111:L111" si="28">I55*I122</f>
        <v>5321.6341401643585</v>
      </c>
      <c r="J111" s="260">
        <f t="shared" si="28"/>
        <v>7321.1582559979752</v>
      </c>
      <c r="K111" s="260">
        <f t="shared" si="28"/>
        <v>9972.7743287268713</v>
      </c>
      <c r="L111" s="260">
        <f t="shared" si="28"/>
        <v>13481.009833575865</v>
      </c>
      <c r="M111" s="192"/>
    </row>
    <row r="112" spans="1:13" x14ac:dyDescent="0.2">
      <c r="A112" s="192"/>
      <c r="B112" s="192" t="s">
        <v>380</v>
      </c>
      <c r="C112" s="192"/>
      <c r="D112" s="344"/>
      <c r="E112" s="345"/>
      <c r="F112" s="346"/>
      <c r="G112" s="596">
        <f>SUM(G110:G111)</f>
        <v>5313</v>
      </c>
      <c r="H112" s="595">
        <f t="shared" ref="H112:L112" si="29">SUM(H110:H111)</f>
        <v>4923.6823241652601</v>
      </c>
      <c r="I112" s="595">
        <f t="shared" si="29"/>
        <v>6862.5830550226301</v>
      </c>
      <c r="J112" s="595">
        <f t="shared" si="29"/>
        <v>9441.0955859507867</v>
      </c>
      <c r="K112" s="595">
        <f t="shared" si="29"/>
        <v>12860.521846729578</v>
      </c>
      <c r="L112" s="595">
        <f t="shared" si="29"/>
        <v>17384.612923735091</v>
      </c>
      <c r="M112" s="192"/>
    </row>
    <row r="113" spans="1:13" x14ac:dyDescent="0.2">
      <c r="A113" s="192"/>
      <c r="B113" s="192"/>
      <c r="C113" s="192"/>
      <c r="D113" s="344"/>
      <c r="E113" s="345"/>
      <c r="F113" s="346"/>
      <c r="G113" s="353"/>
      <c r="H113" s="533"/>
      <c r="I113" s="260"/>
      <c r="J113" s="260"/>
      <c r="K113" s="260"/>
      <c r="L113" s="260"/>
      <c r="M113" s="192"/>
    </row>
    <row r="114" spans="1:13" x14ac:dyDescent="0.2">
      <c r="A114" s="192"/>
      <c r="B114" s="192" t="s">
        <v>381</v>
      </c>
      <c r="C114" s="192"/>
      <c r="D114" s="344"/>
      <c r="E114" s="345"/>
      <c r="F114" s="346"/>
      <c r="G114" s="353">
        <f>G108-G112</f>
        <v>4464</v>
      </c>
      <c r="H114" s="533">
        <f>H108-H112</f>
        <v>4582.616129783728</v>
      </c>
      <c r="I114" s="260">
        <f t="shared" ref="I114:L114" si="30">I108-I112</f>
        <v>6256.2590853256088</v>
      </c>
      <c r="J114" s="260">
        <f t="shared" si="30"/>
        <v>8471.763191166885</v>
      </c>
      <c r="K114" s="260">
        <f t="shared" si="30"/>
        <v>11398.708710085586</v>
      </c>
      <c r="L114" s="260">
        <f t="shared" si="30"/>
        <v>15259.190462963616</v>
      </c>
      <c r="M114" s="192"/>
    </row>
    <row r="115" spans="1:13" x14ac:dyDescent="0.2">
      <c r="A115" s="192"/>
      <c r="B115" s="216" t="s">
        <v>382</v>
      </c>
      <c r="C115" s="192"/>
      <c r="D115" s="344"/>
      <c r="E115" s="345"/>
      <c r="F115" s="346"/>
      <c r="G115" s="346"/>
      <c r="H115" s="534">
        <f>H114-G114</f>
        <v>118.61612978372796</v>
      </c>
      <c r="I115" s="535">
        <f>I114-H114</f>
        <v>1673.6429555418808</v>
      </c>
      <c r="J115" s="535">
        <f>J114-I114</f>
        <v>2215.5041058412762</v>
      </c>
      <c r="K115" s="535">
        <f>K114-J114</f>
        <v>2926.9455189187011</v>
      </c>
      <c r="L115" s="535">
        <f>L114-K114</f>
        <v>3860.4817528780295</v>
      </c>
      <c r="M115" s="192"/>
    </row>
    <row r="116" spans="1:13" x14ac:dyDescent="0.2">
      <c r="A116" s="192"/>
      <c r="B116" s="196" t="s">
        <v>38</v>
      </c>
      <c r="C116" s="192"/>
      <c r="D116" s="344"/>
      <c r="E116" s="345"/>
      <c r="F116" s="346"/>
      <c r="G116" s="346"/>
      <c r="H116" s="352"/>
      <c r="I116" s="348"/>
      <c r="J116" s="349"/>
      <c r="K116" s="348"/>
      <c r="L116" s="348"/>
      <c r="M116" s="192"/>
    </row>
    <row r="117" spans="1:13" x14ac:dyDescent="0.2">
      <c r="A117" s="192"/>
      <c r="B117" s="192" t="s">
        <v>383</v>
      </c>
      <c r="C117" s="192"/>
      <c r="D117" s="344"/>
      <c r="E117" s="345"/>
      <c r="F117" s="346"/>
      <c r="G117" s="260">
        <f>H117</f>
        <v>51.785237636242307</v>
      </c>
      <c r="H117" s="536">
        <f>NVDA!F112</f>
        <v>51.785237636242307</v>
      </c>
      <c r="I117" s="260">
        <f>H117</f>
        <v>51.785237636242307</v>
      </c>
      <c r="J117" s="260">
        <f t="shared" ref="J117:L119" si="31">I117</f>
        <v>51.785237636242307</v>
      </c>
      <c r="K117" s="260">
        <f t="shared" si="31"/>
        <v>51.785237636242307</v>
      </c>
      <c r="L117" s="260">
        <f t="shared" si="31"/>
        <v>51.785237636242307</v>
      </c>
      <c r="M117" s="192"/>
    </row>
    <row r="118" spans="1:13" x14ac:dyDescent="0.2">
      <c r="A118" s="192"/>
      <c r="B118" s="192" t="s">
        <v>88</v>
      </c>
      <c r="C118" s="192"/>
      <c r="D118" s="344"/>
      <c r="E118" s="345"/>
      <c r="F118" s="346"/>
      <c r="G118" s="369">
        <f>H118</f>
        <v>1.9527040124055048</v>
      </c>
      <c r="H118" s="537">
        <f>NVDA!F113</f>
        <v>1.9527040124055048</v>
      </c>
      <c r="I118" s="369">
        <f>H118</f>
        <v>1.9527040124055048</v>
      </c>
      <c r="J118" s="369">
        <f t="shared" si="31"/>
        <v>1.9527040124055048</v>
      </c>
      <c r="K118" s="369">
        <f t="shared" si="31"/>
        <v>1.9527040124055048</v>
      </c>
      <c r="L118" s="369">
        <f t="shared" si="31"/>
        <v>1.9527040124055048</v>
      </c>
      <c r="M118" s="192"/>
    </row>
    <row r="119" spans="1:13" x14ac:dyDescent="0.2">
      <c r="A119" s="192"/>
      <c r="B119" s="192" t="s">
        <v>384</v>
      </c>
      <c r="C119" s="192"/>
      <c r="D119" s="344"/>
      <c r="E119" s="345"/>
      <c r="F119" s="346"/>
      <c r="G119" s="348">
        <f>H119</f>
        <v>2.9324534737154295E-2</v>
      </c>
      <c r="H119" s="538">
        <f>NVDA!F114</f>
        <v>2.9324534737154295E-2</v>
      </c>
      <c r="I119" s="348">
        <f>H119</f>
        <v>2.9324534737154295E-2</v>
      </c>
      <c r="J119" s="348">
        <f t="shared" si="31"/>
        <v>2.9324534737154295E-2</v>
      </c>
      <c r="K119" s="348">
        <f t="shared" si="31"/>
        <v>2.9324534737154295E-2</v>
      </c>
      <c r="L119" s="348">
        <f t="shared" si="31"/>
        <v>2.9324534737154295E-2</v>
      </c>
      <c r="M119" s="192"/>
    </row>
    <row r="120" spans="1:13" x14ac:dyDescent="0.2">
      <c r="A120" s="192"/>
      <c r="B120" s="192"/>
      <c r="C120" s="192"/>
      <c r="D120" s="344"/>
      <c r="E120" s="345"/>
      <c r="F120" s="346"/>
      <c r="G120" s="348"/>
      <c r="H120" s="538"/>
      <c r="I120" s="348"/>
      <c r="J120" s="348"/>
      <c r="K120" s="348"/>
      <c r="L120" s="348"/>
      <c r="M120" s="192"/>
    </row>
    <row r="121" spans="1:13" x14ac:dyDescent="0.2">
      <c r="A121" s="192"/>
      <c r="B121" s="192" t="s">
        <v>385</v>
      </c>
      <c r="C121" s="192"/>
      <c r="D121" s="344"/>
      <c r="E121" s="345"/>
      <c r="F121" s="346"/>
      <c r="G121" s="260">
        <f>H121</f>
        <v>43.224637681159422</v>
      </c>
      <c r="H121" s="536">
        <f>NVDA!F116</f>
        <v>43.224637681159422</v>
      </c>
      <c r="I121" s="260">
        <f>H121</f>
        <v>43.224637681159422</v>
      </c>
      <c r="J121" s="260">
        <f t="shared" ref="J121:L122" si="32">I121</f>
        <v>43.224637681159422</v>
      </c>
      <c r="K121" s="260">
        <f t="shared" si="32"/>
        <v>43.224637681159422</v>
      </c>
      <c r="L121" s="260">
        <f t="shared" si="32"/>
        <v>43.224637681159422</v>
      </c>
      <c r="M121" s="192"/>
    </row>
    <row r="122" spans="1:13" x14ac:dyDescent="0.2">
      <c r="A122" s="228" t="s">
        <v>183</v>
      </c>
      <c r="B122" s="192" t="s">
        <v>386</v>
      </c>
      <c r="C122" s="192"/>
      <c r="D122" s="344"/>
      <c r="E122" s="345"/>
      <c r="F122" s="346"/>
      <c r="G122" s="348">
        <f>H122</f>
        <v>0.40897359539408379</v>
      </c>
      <c r="H122" s="594">
        <f>NVDA!F117</f>
        <v>0.40897359539408379</v>
      </c>
      <c r="I122" s="348">
        <f>H122</f>
        <v>0.40897359539408379</v>
      </c>
      <c r="J122" s="348">
        <f t="shared" si="32"/>
        <v>0.40897359539408379</v>
      </c>
      <c r="K122" s="348">
        <f t="shared" si="32"/>
        <v>0.40897359539408379</v>
      </c>
      <c r="L122" s="348">
        <f t="shared" si="32"/>
        <v>0.40897359539408379</v>
      </c>
      <c r="M122" s="192"/>
    </row>
    <row r="123" spans="1:13" x14ac:dyDescent="0.2">
      <c r="A123" s="192"/>
      <c r="B123" s="192"/>
      <c r="C123" s="192"/>
      <c r="D123" s="344"/>
      <c r="E123" s="345"/>
      <c r="F123" s="346"/>
      <c r="G123" s="346"/>
      <c r="H123" s="348"/>
      <c r="I123" s="348"/>
      <c r="J123" s="349"/>
      <c r="K123" s="348"/>
      <c r="L123" s="348"/>
      <c r="M123" s="192"/>
    </row>
    <row r="124" spans="1:13" x14ac:dyDescent="0.2">
      <c r="A124" s="192"/>
      <c r="B124" s="192"/>
      <c r="C124" s="192"/>
      <c r="D124" s="344"/>
      <c r="E124" s="345"/>
      <c r="F124" s="346"/>
      <c r="G124" s="346"/>
      <c r="H124" s="348"/>
      <c r="I124" s="348"/>
      <c r="J124" s="349"/>
      <c r="K124" s="348"/>
      <c r="L124" s="348"/>
      <c r="M124" s="192"/>
    </row>
    <row r="125" spans="1:13" x14ac:dyDescent="0.2">
      <c r="A125" s="199" t="s">
        <v>190</v>
      </c>
      <c r="B125" s="200" t="s">
        <v>101</v>
      </c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192"/>
    </row>
    <row r="126" spans="1:13" x14ac:dyDescent="0.2">
      <c r="A126" s="192"/>
      <c r="B126" s="192"/>
      <c r="C126" s="192"/>
      <c r="D126" s="192"/>
      <c r="E126" s="373">
        <f>F126-1</f>
        <v>2020</v>
      </c>
      <c r="F126" s="373">
        <f>G126-1</f>
        <v>2021</v>
      </c>
      <c r="G126" s="313">
        <f>YEAR(D10)</f>
        <v>2022</v>
      </c>
      <c r="H126" s="279">
        <f>G126+1</f>
        <v>2023</v>
      </c>
      <c r="I126" s="279">
        <f>H126+1</f>
        <v>2024</v>
      </c>
      <c r="J126" s="279">
        <f>I126+1</f>
        <v>2025</v>
      </c>
      <c r="K126" s="279">
        <f>J126+1</f>
        <v>2026</v>
      </c>
      <c r="L126" s="279">
        <f>K126+1</f>
        <v>2027</v>
      </c>
      <c r="M126" s="192"/>
    </row>
    <row r="127" spans="1:13" x14ac:dyDescent="0.2">
      <c r="A127" s="192"/>
      <c r="B127" s="228" t="s">
        <v>35</v>
      </c>
      <c r="C127" s="228"/>
      <c r="D127" s="192"/>
      <c r="E127" s="374"/>
      <c r="F127" s="374"/>
      <c r="G127" s="375"/>
      <c r="H127" s="376">
        <f ca="1">H89</f>
        <v>4903.8124289551542</v>
      </c>
      <c r="I127" s="283">
        <f ca="1">I89</f>
        <v>6475.3957029141675</v>
      </c>
      <c r="J127" s="283">
        <f ca="1">J89</f>
        <v>8830.5478279686176</v>
      </c>
      <c r="K127" s="283">
        <f ca="1">K89</f>
        <v>11916.867602822946</v>
      </c>
      <c r="L127" s="283">
        <f ca="1">L89</f>
        <v>15655.875126799743</v>
      </c>
      <c r="M127" s="192"/>
    </row>
    <row r="128" spans="1:13" x14ac:dyDescent="0.2">
      <c r="A128" s="192"/>
      <c r="B128" s="377" t="s">
        <v>387</v>
      </c>
      <c r="C128" s="228"/>
      <c r="D128" s="192"/>
      <c r="E128" s="378"/>
      <c r="F128" s="378"/>
      <c r="G128" s="379"/>
      <c r="H128" s="235">
        <f>H74</f>
        <v>782.30472265316394</v>
      </c>
      <c r="I128" s="235">
        <f>I74</f>
        <v>1183.1549891432173</v>
      </c>
      <c r="J128" s="235">
        <f>J74</f>
        <v>1707.519710534867</v>
      </c>
      <c r="K128" s="235">
        <f>K74</f>
        <v>2393.4575382622816</v>
      </c>
      <c r="L128" s="235">
        <f>L74</f>
        <v>3290.7541799178866</v>
      </c>
      <c r="M128" s="380"/>
    </row>
    <row r="129" spans="1:13" x14ac:dyDescent="0.2">
      <c r="A129" s="192"/>
      <c r="B129" s="377" t="s">
        <v>388</v>
      </c>
      <c r="C129" s="228"/>
      <c r="D129" s="192"/>
      <c r="E129" s="378"/>
      <c r="F129" s="378"/>
      <c r="G129" s="379"/>
      <c r="H129" s="235">
        <f>H78</f>
        <v>699</v>
      </c>
      <c r="I129" s="235">
        <f>I78</f>
        <v>699</v>
      </c>
      <c r="J129" s="235">
        <f>J78</f>
        <v>699</v>
      </c>
      <c r="K129" s="235">
        <f>K78</f>
        <v>699</v>
      </c>
      <c r="L129" s="235">
        <f>L78</f>
        <v>699</v>
      </c>
      <c r="M129" s="380"/>
    </row>
    <row r="130" spans="1:13" x14ac:dyDescent="0.2">
      <c r="A130" s="192"/>
      <c r="B130" s="377" t="s">
        <v>389</v>
      </c>
      <c r="C130" s="228"/>
      <c r="D130" s="192"/>
      <c r="E130" s="378"/>
      <c r="F130" s="378"/>
      <c r="G130" s="379"/>
      <c r="H130" s="260">
        <f>-H115</f>
        <v>-118.61612978372796</v>
      </c>
      <c r="I130" s="260">
        <f>-I115</f>
        <v>-1673.6429555418808</v>
      </c>
      <c r="J130" s="260">
        <f>-J115</f>
        <v>-2215.5041058412762</v>
      </c>
      <c r="K130" s="260">
        <f>-K115</f>
        <v>-2926.9455189187011</v>
      </c>
      <c r="L130" s="260">
        <f>-L115</f>
        <v>-3860.4817528780295</v>
      </c>
      <c r="M130" s="192"/>
    </row>
    <row r="131" spans="1:13" x14ac:dyDescent="0.2">
      <c r="A131" s="192"/>
      <c r="B131" s="377" t="s">
        <v>581</v>
      </c>
      <c r="C131" s="228"/>
      <c r="D131" s="192"/>
      <c r="E131" s="378"/>
      <c r="F131" s="378"/>
      <c r="G131" s="379"/>
      <c r="H131" s="260">
        <f>2%*H48</f>
        <v>-153.69200000000001</v>
      </c>
      <c r="I131" s="260">
        <f>H131</f>
        <v>-153.69200000000001</v>
      </c>
      <c r="J131" s="260">
        <v>0</v>
      </c>
      <c r="K131" s="260">
        <v>0</v>
      </c>
      <c r="L131" s="260">
        <v>0</v>
      </c>
      <c r="M131" s="192"/>
    </row>
    <row r="132" spans="1:13" x14ac:dyDescent="0.2">
      <c r="A132" s="192"/>
      <c r="B132" s="377" t="s">
        <v>582</v>
      </c>
      <c r="C132" s="228"/>
      <c r="D132" s="192"/>
      <c r="E132" s="378"/>
      <c r="F132" s="378"/>
      <c r="G132" s="379"/>
      <c r="H132" s="260">
        <f>-J23</f>
        <v>-1742.0126047304811</v>
      </c>
      <c r="I132" s="260">
        <v>0</v>
      </c>
      <c r="J132" s="260">
        <v>0</v>
      </c>
      <c r="K132" s="260">
        <v>0</v>
      </c>
      <c r="L132" s="260">
        <v>0</v>
      </c>
      <c r="M132" s="192"/>
    </row>
    <row r="133" spans="1:13" x14ac:dyDescent="0.2">
      <c r="A133" s="192"/>
      <c r="B133" s="377" t="s">
        <v>390</v>
      </c>
      <c r="C133" s="228"/>
      <c r="D133" s="192"/>
      <c r="E133" s="378"/>
      <c r="F133" s="378"/>
      <c r="G133" s="379"/>
      <c r="H133" s="260">
        <f>H214</f>
        <v>0</v>
      </c>
      <c r="I133" s="260">
        <f>I214</f>
        <v>0</v>
      </c>
      <c r="J133" s="260">
        <f>J214</f>
        <v>0</v>
      </c>
      <c r="K133" s="260">
        <f>K214</f>
        <v>0</v>
      </c>
      <c r="L133" s="260">
        <f>L214</f>
        <v>0</v>
      </c>
      <c r="M133" s="192"/>
    </row>
    <row r="134" spans="1:13" x14ac:dyDescent="0.2">
      <c r="A134" s="192"/>
      <c r="B134" s="297" t="s">
        <v>103</v>
      </c>
      <c r="C134" s="297"/>
      <c r="D134" s="192"/>
      <c r="E134" s="378"/>
      <c r="F134" s="378"/>
      <c r="G134" s="379"/>
      <c r="H134" s="226">
        <f ca="1">SUM(H127:H133)</f>
        <v>4370.7964170941086</v>
      </c>
      <c r="I134" s="226">
        <f ca="1">SUM(I127:I133)</f>
        <v>6530.2157365155035</v>
      </c>
      <c r="J134" s="226">
        <f ca="1">SUM(J127:J133)</f>
        <v>9021.5634326622094</v>
      </c>
      <c r="K134" s="226">
        <f ca="1">SUM(K127:K133)</f>
        <v>12082.379622166527</v>
      </c>
      <c r="L134" s="226">
        <f ca="1">SUM(L127:L133)</f>
        <v>15785.147553839601</v>
      </c>
      <c r="M134" s="192"/>
    </row>
    <row r="135" spans="1:13" x14ac:dyDescent="0.2">
      <c r="A135" s="192"/>
      <c r="B135" s="228"/>
      <c r="C135" s="228"/>
      <c r="D135" s="192"/>
      <c r="E135" s="378"/>
      <c r="F135" s="378"/>
      <c r="G135" s="379"/>
      <c r="H135" s="235"/>
      <c r="I135" s="235"/>
      <c r="J135" s="235"/>
      <c r="K135" s="235"/>
      <c r="L135" s="235"/>
      <c r="M135" s="192"/>
    </row>
    <row r="136" spans="1:13" x14ac:dyDescent="0.2">
      <c r="A136" s="192"/>
      <c r="B136" s="228" t="s">
        <v>94</v>
      </c>
      <c r="C136" s="228"/>
      <c r="D136" s="192"/>
      <c r="E136" s="378"/>
      <c r="F136" s="378"/>
      <c r="G136" s="379"/>
      <c r="H136" s="223">
        <f>NVDA!F145*0.8</f>
        <v>-1961.1502249802497</v>
      </c>
      <c r="I136" s="223">
        <f>NVDA!G145*0.8</f>
        <v>-2565.4417055363419</v>
      </c>
      <c r="J136" s="223">
        <f>NVDA!H145*0.8</f>
        <v>-3355.9342169065585</v>
      </c>
      <c r="K136" s="223">
        <f>NVDA!I145*0.8</f>
        <v>-4390.0020974554527</v>
      </c>
      <c r="L136" s="223">
        <f>NVDA!J145*0.8</f>
        <v>-5742.6985065958725</v>
      </c>
      <c r="M136" s="192"/>
    </row>
    <row r="137" spans="1:13" x14ac:dyDescent="0.2">
      <c r="A137" s="192"/>
      <c r="B137" s="297" t="s">
        <v>104</v>
      </c>
      <c r="C137" s="297"/>
      <c r="D137" s="192"/>
      <c r="E137" s="378"/>
      <c r="F137" s="378"/>
      <c r="G137" s="379"/>
      <c r="H137" s="226">
        <f>SUM(H136:H136)</f>
        <v>-1961.1502249802497</v>
      </c>
      <c r="I137" s="226">
        <f>SUM(I136:I136)</f>
        <v>-2565.4417055363419</v>
      </c>
      <c r="J137" s="226">
        <f>SUM(J136:J136)</f>
        <v>-3355.9342169065585</v>
      </c>
      <c r="K137" s="226">
        <f>SUM(K136:K136)</f>
        <v>-4390.0020974554527</v>
      </c>
      <c r="L137" s="226">
        <f>SUM(L136:L136)</f>
        <v>-5742.6985065958725</v>
      </c>
      <c r="M137" s="192"/>
    </row>
    <row r="138" spans="1:13" x14ac:dyDescent="0.2">
      <c r="A138" s="192"/>
      <c r="B138" s="228"/>
      <c r="C138" s="228"/>
      <c r="D138" s="192"/>
      <c r="E138" s="378"/>
      <c r="F138" s="378"/>
      <c r="G138" s="379"/>
      <c r="H138" s="235"/>
      <c r="I138" s="235"/>
      <c r="J138" s="235"/>
      <c r="K138" s="235"/>
      <c r="L138" s="235"/>
      <c r="M138" s="192"/>
    </row>
    <row r="139" spans="1:13" x14ac:dyDescent="0.2">
      <c r="A139" s="192"/>
      <c r="B139" s="297" t="s">
        <v>391</v>
      </c>
      <c r="C139" s="297"/>
      <c r="D139" s="216"/>
      <c r="E139" s="378"/>
      <c r="F139" s="378"/>
      <c r="G139" s="379"/>
      <c r="H139" s="221">
        <f ca="1">H134+H137</f>
        <v>2409.6461921138589</v>
      </c>
      <c r="I139" s="221">
        <f ca="1">I134+I137</f>
        <v>3964.7740309791616</v>
      </c>
      <c r="J139" s="221">
        <f ca="1">J134+J137</f>
        <v>5665.6292157556509</v>
      </c>
      <c r="K139" s="221">
        <f ca="1">K134+K137</f>
        <v>7692.3775247110743</v>
      </c>
      <c r="L139" s="221">
        <f ca="1">L134+L137</f>
        <v>10042.449047243728</v>
      </c>
      <c r="M139" s="192"/>
    </row>
    <row r="140" spans="1:13" x14ac:dyDescent="0.2">
      <c r="A140" s="192"/>
      <c r="B140" s="228"/>
      <c r="C140" s="228"/>
      <c r="D140" s="192"/>
      <c r="E140" s="378"/>
      <c r="F140" s="378"/>
      <c r="G140" s="379"/>
      <c r="H140" s="235"/>
      <c r="I140" s="235"/>
      <c r="J140" s="235"/>
      <c r="K140" s="235"/>
      <c r="L140" s="235"/>
      <c r="M140" s="192"/>
    </row>
    <row r="141" spans="1:13" x14ac:dyDescent="0.2">
      <c r="A141" s="192"/>
      <c r="B141" s="228" t="s">
        <v>583</v>
      </c>
      <c r="C141" s="228"/>
      <c r="D141" s="192"/>
      <c r="E141" s="378"/>
      <c r="F141" s="378"/>
      <c r="G141" s="379"/>
      <c r="H141" s="235">
        <f>J20</f>
        <v>28710.063023652405</v>
      </c>
      <c r="I141" s="235">
        <v>0</v>
      </c>
      <c r="J141" s="235">
        <v>0</v>
      </c>
      <c r="K141" s="235">
        <v>0</v>
      </c>
      <c r="L141" s="235">
        <v>0</v>
      </c>
      <c r="M141" s="192"/>
    </row>
    <row r="142" spans="1:13" x14ac:dyDescent="0.2">
      <c r="A142" s="192"/>
      <c r="B142" s="228" t="s">
        <v>156</v>
      </c>
      <c r="C142" s="228"/>
      <c r="D142" s="192"/>
      <c r="E142" s="378"/>
      <c r="F142" s="378"/>
      <c r="G142" s="379"/>
      <c r="H142" s="260">
        <f>-C16*J20+J23</f>
        <v>-26968.050418921925</v>
      </c>
      <c r="I142" s="300">
        <v>0</v>
      </c>
      <c r="J142" s="260">
        <f>I142</f>
        <v>0</v>
      </c>
      <c r="K142" s="260">
        <f>J142</f>
        <v>0</v>
      </c>
      <c r="L142" s="260">
        <f>K142</f>
        <v>0</v>
      </c>
      <c r="M142" s="192"/>
    </row>
    <row r="143" spans="1:13" x14ac:dyDescent="0.2">
      <c r="A143" s="192"/>
      <c r="B143" s="228" t="s">
        <v>109</v>
      </c>
      <c r="C143" s="228"/>
      <c r="D143" s="192"/>
      <c r="E143" s="378"/>
      <c r="F143" s="378"/>
      <c r="G143" s="379"/>
      <c r="H143" s="223">
        <f ca="1">NVDA!F166*0.8</f>
        <v>-578.86687588212772</v>
      </c>
      <c r="I143" s="223">
        <f ca="1">NVDA!G166*0.8</f>
        <v>-763.74146783236426</v>
      </c>
      <c r="J143" s="223">
        <f ca="1">NVDA!H166*0.8</f>
        <v>-1007.7457069426627</v>
      </c>
      <c r="K143" s="223">
        <f ca="1">NVDA!I166*0.8</f>
        <v>-1329.3423861758642</v>
      </c>
      <c r="L143" s="223">
        <f ca="1">NVDA!J166*0.8</f>
        <v>-1752.4631191570543</v>
      </c>
      <c r="M143" s="192"/>
    </row>
    <row r="144" spans="1:13" x14ac:dyDescent="0.2">
      <c r="A144" s="192"/>
      <c r="B144" s="228" t="s">
        <v>394</v>
      </c>
      <c r="C144" s="228"/>
      <c r="D144" s="192"/>
      <c r="E144" s="378"/>
      <c r="F144" s="378"/>
      <c r="G144" s="379"/>
      <c r="H144" s="260">
        <f ca="1">SUM(H161,H169,H175)</f>
        <v>-4961.7919209622114</v>
      </c>
      <c r="I144" s="260">
        <f ca="1">SUM(I161,I169,I175)</f>
        <v>-3201.0325631467986</v>
      </c>
      <c r="J144" s="260">
        <f ca="1">SUM(J161,J169,J175)</f>
        <v>-1540.1755158909918</v>
      </c>
      <c r="K144" s="260">
        <f ca="1">SUM(K161,K169,K175)</f>
        <v>0</v>
      </c>
      <c r="L144" s="260">
        <f ca="1">SUM(L161,L169,L175)</f>
        <v>0</v>
      </c>
      <c r="M144" s="381"/>
    </row>
    <row r="145" spans="1:13" x14ac:dyDescent="0.2">
      <c r="A145" s="192"/>
      <c r="B145" s="297" t="s">
        <v>111</v>
      </c>
      <c r="C145" s="297"/>
      <c r="D145" s="192"/>
      <c r="E145" s="378"/>
      <c r="F145" s="378"/>
      <c r="G145" s="379"/>
      <c r="H145" s="226">
        <f ca="1">SUM(H141:H144)</f>
        <v>-3798.6461921138589</v>
      </c>
      <c r="I145" s="226">
        <f ca="1">SUM(I141:I144)</f>
        <v>-3964.7740309791629</v>
      </c>
      <c r="J145" s="226">
        <f ca="1">SUM(J141:J144)</f>
        <v>-2547.9212228336546</v>
      </c>
      <c r="K145" s="226">
        <f ca="1">SUM(K141:K144)</f>
        <v>-1329.3423861758642</v>
      </c>
      <c r="L145" s="226">
        <f ca="1">SUM(L141:L144)</f>
        <v>-1752.4631191570543</v>
      </c>
      <c r="M145" s="192"/>
    </row>
    <row r="146" spans="1:13" x14ac:dyDescent="0.2">
      <c r="A146" s="192"/>
      <c r="B146" s="228"/>
      <c r="C146" s="228"/>
      <c r="D146" s="192"/>
      <c r="E146" s="243"/>
      <c r="F146" s="243"/>
      <c r="G146" s="330"/>
      <c r="H146" s="235"/>
      <c r="I146" s="235"/>
      <c r="J146" s="235"/>
      <c r="K146" s="235"/>
      <c r="L146" s="235"/>
      <c r="M146" s="192"/>
    </row>
    <row r="147" spans="1:13" x14ac:dyDescent="0.2">
      <c r="A147" s="192"/>
      <c r="B147" s="192" t="s">
        <v>395</v>
      </c>
      <c r="C147" s="192"/>
      <c r="D147" s="192"/>
      <c r="E147" s="243"/>
      <c r="F147" s="243"/>
      <c r="G147" s="330"/>
      <c r="H147" s="235">
        <f>C20</f>
        <v>3389</v>
      </c>
      <c r="I147" s="235">
        <f ca="1">H149</f>
        <v>1999.9999999999982</v>
      </c>
      <c r="J147" s="235">
        <f ca="1">I149</f>
        <v>2000.0000000000018</v>
      </c>
      <c r="K147" s="235">
        <f ca="1">J149</f>
        <v>5117.7079929219944</v>
      </c>
      <c r="L147" s="235">
        <f ca="1">K149</f>
        <v>11480.743131457208</v>
      </c>
      <c r="M147" s="192"/>
    </row>
    <row r="148" spans="1:13" x14ac:dyDescent="0.2">
      <c r="A148" s="192"/>
      <c r="B148" s="192" t="s">
        <v>113</v>
      </c>
      <c r="C148" s="192"/>
      <c r="D148" s="192"/>
      <c r="E148" s="243"/>
      <c r="F148" s="243"/>
      <c r="G148" s="330"/>
      <c r="H148" s="235">
        <f ca="1">H139+H145</f>
        <v>-1389</v>
      </c>
      <c r="I148" s="235">
        <f ca="1">I139+I145</f>
        <v>0</v>
      </c>
      <c r="J148" s="235">
        <f ca="1">J139+J145</f>
        <v>3117.7079929219963</v>
      </c>
      <c r="K148" s="235">
        <f ca="1">K139+K145</f>
        <v>6363.0351385352096</v>
      </c>
      <c r="L148" s="235">
        <f ca="1">L139+L145</f>
        <v>8289.9859280866731</v>
      </c>
      <c r="M148" s="192"/>
    </row>
    <row r="149" spans="1:13" x14ac:dyDescent="0.2">
      <c r="A149" s="228" t="s">
        <v>183</v>
      </c>
      <c r="B149" s="216" t="s">
        <v>396</v>
      </c>
      <c r="C149" s="192"/>
      <c r="D149" s="192"/>
      <c r="E149" s="243"/>
      <c r="F149" s="243"/>
      <c r="G149" s="330"/>
      <c r="H149" s="226">
        <f ca="1">SUM(H147:H148)</f>
        <v>2000</v>
      </c>
      <c r="I149" s="226">
        <f ca="1">SUM(I147:I148)</f>
        <v>1999.9999999999982</v>
      </c>
      <c r="J149" s="226">
        <f ca="1">SUM(J147:J148)</f>
        <v>5117.7079929219981</v>
      </c>
      <c r="K149" s="226">
        <f ca="1">SUM(K147:K148)</f>
        <v>11480.743131457204</v>
      </c>
      <c r="L149" s="226">
        <f ca="1">SUM(L147:L148)</f>
        <v>19770.729059543883</v>
      </c>
      <c r="M149" s="192"/>
    </row>
    <row r="150" spans="1:13" x14ac:dyDescent="0.2">
      <c r="A150" s="192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</row>
    <row r="151" spans="1:13" x14ac:dyDescent="0.2">
      <c r="A151" s="192"/>
      <c r="B151" s="192"/>
      <c r="C151" s="192"/>
      <c r="D151" s="192"/>
      <c r="E151" s="192"/>
      <c r="F151" s="192"/>
      <c r="G151" s="192"/>
      <c r="H151" s="192"/>
      <c r="I151" s="192"/>
      <c r="J151" s="192"/>
      <c r="K151" s="192"/>
      <c r="L151" s="192"/>
      <c r="M151" s="192"/>
    </row>
    <row r="152" spans="1:13" x14ac:dyDescent="0.2">
      <c r="A152" s="199" t="s">
        <v>190</v>
      </c>
      <c r="B152" s="200" t="s">
        <v>397</v>
      </c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192"/>
    </row>
    <row r="153" spans="1:13" x14ac:dyDescent="0.2">
      <c r="A153" s="192"/>
      <c r="B153" s="192"/>
      <c r="C153" s="192"/>
      <c r="D153" s="192"/>
      <c r="E153" s="383"/>
      <c r="F153" s="383"/>
      <c r="G153" s="313">
        <f>YEAR(D10)</f>
        <v>2022</v>
      </c>
      <c r="H153" s="279">
        <f>G153+1</f>
        <v>2023</v>
      </c>
      <c r="I153" s="279">
        <f>H153+1</f>
        <v>2024</v>
      </c>
      <c r="J153" s="279">
        <f>I153+1</f>
        <v>2025</v>
      </c>
      <c r="K153" s="279">
        <f>J153+1</f>
        <v>2026</v>
      </c>
      <c r="L153" s="279">
        <f>K153+1</f>
        <v>2027</v>
      </c>
      <c r="M153" s="192"/>
    </row>
    <row r="154" spans="1:13" x14ac:dyDescent="0.2">
      <c r="A154" s="192"/>
      <c r="B154" s="192" t="s">
        <v>398</v>
      </c>
      <c r="C154" s="192"/>
      <c r="D154" s="192"/>
      <c r="E154" s="192"/>
      <c r="F154" s="192"/>
      <c r="G154" s="384"/>
      <c r="H154" s="539">
        <f ca="1">H139+SUM(H141:H143)</f>
        <v>3572.7919209622114</v>
      </c>
      <c r="I154" s="283">
        <f ca="1">I139+SUM(I141:I143)</f>
        <v>3201.0325631467972</v>
      </c>
      <c r="J154" s="283">
        <f ca="1">J139+SUM(J141:J143)</f>
        <v>4657.8835088129881</v>
      </c>
      <c r="K154" s="283">
        <f ca="1">K139+SUM(K141:K143)</f>
        <v>6363.0351385352096</v>
      </c>
      <c r="L154" s="283">
        <f ca="1">L139+SUM(L141:L143)</f>
        <v>8289.9859280866731</v>
      </c>
      <c r="M154" s="243"/>
    </row>
    <row r="155" spans="1:13" x14ac:dyDescent="0.2">
      <c r="A155" s="192"/>
      <c r="B155" s="192" t="s">
        <v>112</v>
      </c>
      <c r="C155" s="192"/>
      <c r="D155" s="192"/>
      <c r="E155" s="192"/>
      <c r="F155" s="192"/>
      <c r="G155" s="294"/>
      <c r="H155" s="235">
        <f>H147</f>
        <v>3389</v>
      </c>
      <c r="I155" s="235">
        <f ca="1">I147</f>
        <v>1999.9999999999982</v>
      </c>
      <c r="J155" s="235">
        <f ca="1">J147</f>
        <v>2000.0000000000018</v>
      </c>
      <c r="K155" s="235">
        <f ca="1">K147</f>
        <v>5117.7079929219944</v>
      </c>
      <c r="L155" s="235">
        <f ca="1">L147</f>
        <v>11480.743131457208</v>
      </c>
      <c r="M155" s="243"/>
    </row>
    <row r="156" spans="1:13" x14ac:dyDescent="0.2">
      <c r="A156" s="192"/>
      <c r="B156" s="192" t="s">
        <v>399</v>
      </c>
      <c r="C156" s="192"/>
      <c r="D156" s="192"/>
      <c r="E156" s="192"/>
      <c r="F156" s="192"/>
      <c r="G156" s="294"/>
      <c r="H156" s="235">
        <f>-$C$19</f>
        <v>-2000</v>
      </c>
      <c r="I156" s="235">
        <f>-$C$19</f>
        <v>-2000</v>
      </c>
      <c r="J156" s="235">
        <f>-$C$19</f>
        <v>-2000</v>
      </c>
      <c r="K156" s="235">
        <f>-$C$19</f>
        <v>-2000</v>
      </c>
      <c r="L156" s="235">
        <f>-$C$19</f>
        <v>-2000</v>
      </c>
      <c r="M156" s="192"/>
    </row>
    <row r="157" spans="1:13" x14ac:dyDescent="0.2">
      <c r="A157" s="192"/>
      <c r="B157" s="216" t="s">
        <v>400</v>
      </c>
      <c r="C157" s="216"/>
      <c r="D157" s="216"/>
      <c r="E157" s="216"/>
      <c r="F157" s="216"/>
      <c r="G157" s="386"/>
      <c r="H157" s="540">
        <f ca="1">SUM(H154:H156)</f>
        <v>4961.7919209622114</v>
      </c>
      <c r="I157" s="226">
        <f ca="1">SUM(I154:I156)</f>
        <v>3201.0325631467949</v>
      </c>
      <c r="J157" s="226">
        <f ca="1">SUM(J154:J156)</f>
        <v>4657.8835088129899</v>
      </c>
      <c r="K157" s="226">
        <f ca="1">SUM(K154:K156)</f>
        <v>9480.7431314572041</v>
      </c>
      <c r="L157" s="226">
        <f ca="1">SUM(L154:L156)</f>
        <v>17770.729059543883</v>
      </c>
      <c r="M157" s="192"/>
    </row>
    <row r="158" spans="1:13" x14ac:dyDescent="0.2">
      <c r="A158" s="192"/>
      <c r="B158" s="192"/>
      <c r="C158" s="192"/>
      <c r="D158" s="192"/>
      <c r="E158" s="192"/>
      <c r="F158" s="192"/>
      <c r="G158" s="294"/>
      <c r="H158" s="192"/>
      <c r="I158" s="192"/>
      <c r="J158" s="192"/>
      <c r="K158" s="192"/>
      <c r="L158" s="192"/>
      <c r="M158" s="192"/>
    </row>
    <row r="159" spans="1:13" x14ac:dyDescent="0.2">
      <c r="A159" s="192"/>
      <c r="B159" s="197" t="s">
        <v>401</v>
      </c>
      <c r="C159" s="192"/>
      <c r="D159" s="192"/>
      <c r="E159" s="192"/>
      <c r="F159" s="192"/>
      <c r="G159" s="294"/>
      <c r="H159" s="192"/>
      <c r="I159" s="192"/>
      <c r="J159" s="192"/>
      <c r="K159" s="192"/>
      <c r="L159" s="192"/>
      <c r="M159" s="192"/>
    </row>
    <row r="160" spans="1:13" x14ac:dyDescent="0.2">
      <c r="A160" s="192"/>
      <c r="B160" s="192" t="s">
        <v>130</v>
      </c>
      <c r="C160" s="192"/>
      <c r="D160" s="192"/>
      <c r="E160" s="192"/>
      <c r="F160" s="192"/>
      <c r="G160" s="294"/>
      <c r="H160" s="235">
        <f>G162</f>
        <v>0</v>
      </c>
      <c r="I160" s="235">
        <f ca="1">H162</f>
        <v>0</v>
      </c>
      <c r="J160" s="235">
        <f ca="1">I162</f>
        <v>0</v>
      </c>
      <c r="K160" s="235">
        <f ca="1">J162</f>
        <v>0</v>
      </c>
      <c r="L160" s="235">
        <f ca="1">K162</f>
        <v>0</v>
      </c>
      <c r="M160" s="192"/>
    </row>
    <row r="161" spans="1:13" x14ac:dyDescent="0.2">
      <c r="A161" s="192"/>
      <c r="B161" s="192" t="s">
        <v>402</v>
      </c>
      <c r="C161" s="192"/>
      <c r="D161" s="192"/>
      <c r="E161" s="192"/>
      <c r="F161" s="192"/>
      <c r="G161" s="294"/>
      <c r="H161" s="235">
        <f ca="1">-MIN(H157,H160)</f>
        <v>0</v>
      </c>
      <c r="I161" s="235">
        <f ca="1">-MIN(I157,I160)</f>
        <v>0</v>
      </c>
      <c r="J161" s="235">
        <f ca="1">-MIN(J157,J160)</f>
        <v>0</v>
      </c>
      <c r="K161" s="235">
        <f ca="1">-MIN(K157,K160)</f>
        <v>0</v>
      </c>
      <c r="L161" s="235">
        <f ca="1">-MIN(L157,L160)</f>
        <v>0</v>
      </c>
      <c r="M161" s="192"/>
    </row>
    <row r="162" spans="1:13" x14ac:dyDescent="0.2">
      <c r="A162" s="192"/>
      <c r="B162" s="192" t="s">
        <v>133</v>
      </c>
      <c r="C162" s="192"/>
      <c r="D162" s="192"/>
      <c r="E162" s="192"/>
      <c r="F162" s="192"/>
      <c r="G162" s="541">
        <v>0</v>
      </c>
      <c r="H162" s="283">
        <f ca="1">SUM(H160:H161)</f>
        <v>0</v>
      </c>
      <c r="I162" s="283">
        <f ca="1">SUM(I160:I161)</f>
        <v>0</v>
      </c>
      <c r="J162" s="283">
        <f ca="1">SUM(J160:J161)</f>
        <v>0</v>
      </c>
      <c r="K162" s="283">
        <f ca="1">SUM(K160:K161)</f>
        <v>0</v>
      </c>
      <c r="L162" s="283">
        <f ca="1">SUM(L160:L161)</f>
        <v>0</v>
      </c>
      <c r="M162" s="192"/>
    </row>
    <row r="163" spans="1:13" x14ac:dyDescent="0.2">
      <c r="A163" s="192"/>
      <c r="B163" s="192" t="s">
        <v>403</v>
      </c>
      <c r="C163" s="192"/>
      <c r="D163" s="192"/>
      <c r="E163" s="542">
        <v>7500</v>
      </c>
      <c r="F163" s="192"/>
      <c r="G163" s="294"/>
      <c r="H163" s="235">
        <f ca="1">$E$163-H162</f>
        <v>7500</v>
      </c>
      <c r="I163" s="235">
        <f ca="1">$E$163-I162</f>
        <v>7500</v>
      </c>
      <c r="J163" s="235">
        <f ca="1">$E$163-J162</f>
        <v>7500</v>
      </c>
      <c r="K163" s="235">
        <f ca="1">$E$163-K162</f>
        <v>7500</v>
      </c>
      <c r="L163" s="235">
        <f ca="1">$E$163-L162</f>
        <v>7500</v>
      </c>
      <c r="M163" s="192"/>
    </row>
    <row r="164" spans="1:13" x14ac:dyDescent="0.2">
      <c r="A164" s="192"/>
      <c r="B164" s="192" t="s">
        <v>404</v>
      </c>
      <c r="C164" s="192"/>
      <c r="D164" s="192"/>
      <c r="E164" s="232"/>
      <c r="F164" s="192"/>
      <c r="G164" s="294"/>
      <c r="H164" s="543">
        <f ca="1">IF(H163&lt;0,1,0)</f>
        <v>0</v>
      </c>
      <c r="I164" s="544">
        <f ca="1">IF(I163&lt;0,1,0)</f>
        <v>0</v>
      </c>
      <c r="J164" s="544">
        <f ca="1">IF(J163&lt;0,1,0)</f>
        <v>0</v>
      </c>
      <c r="K164" s="544">
        <f ca="1">IF(K163&lt;0,1,0)</f>
        <v>0</v>
      </c>
      <c r="L164" s="544">
        <f ca="1">IF(L163&lt;0,1,0)</f>
        <v>0</v>
      </c>
      <c r="M164" s="192"/>
    </row>
    <row r="165" spans="1:13" x14ac:dyDescent="0.2">
      <c r="A165" s="192"/>
      <c r="B165" s="192"/>
      <c r="C165" s="192"/>
      <c r="D165" s="192"/>
      <c r="E165" s="192"/>
      <c r="F165" s="192"/>
      <c r="G165" s="294"/>
      <c r="H165" s="192"/>
      <c r="I165" s="192"/>
      <c r="J165" s="192"/>
      <c r="K165" s="192"/>
      <c r="L165" s="192"/>
      <c r="M165" s="192"/>
    </row>
    <row r="166" spans="1:13" x14ac:dyDescent="0.2">
      <c r="A166" s="192"/>
      <c r="B166" s="197" t="s">
        <v>584</v>
      </c>
      <c r="C166" s="192"/>
      <c r="D166" s="192"/>
      <c r="E166" s="192"/>
      <c r="F166" s="192"/>
      <c r="G166" s="294"/>
      <c r="H166" s="192"/>
      <c r="I166" s="192"/>
      <c r="J166" s="192"/>
      <c r="K166" s="192"/>
      <c r="L166" s="192"/>
      <c r="M166" s="192"/>
    </row>
    <row r="167" spans="1:13" x14ac:dyDescent="0.2">
      <c r="A167" s="192"/>
      <c r="B167" s="192" t="s">
        <v>130</v>
      </c>
      <c r="C167" s="192"/>
      <c r="D167" s="192"/>
      <c r="E167" s="192"/>
      <c r="F167" s="192"/>
      <c r="G167" s="294"/>
      <c r="H167" s="235">
        <f>G170</f>
        <v>0</v>
      </c>
      <c r="I167" s="235">
        <f ca="1">H170</f>
        <v>0</v>
      </c>
      <c r="J167" s="235">
        <f ca="1">I170</f>
        <v>0</v>
      </c>
      <c r="K167" s="235">
        <f ca="1">J170</f>
        <v>0</v>
      </c>
      <c r="L167" s="235">
        <f ca="1">K170</f>
        <v>0</v>
      </c>
      <c r="M167" s="192"/>
    </row>
    <row r="168" spans="1:13" x14ac:dyDescent="0.2">
      <c r="A168" s="192"/>
      <c r="B168" s="192" t="s">
        <v>406</v>
      </c>
      <c r="C168" s="192"/>
      <c r="D168" s="192"/>
      <c r="E168" s="545">
        <v>0.02</v>
      </c>
      <c r="F168" s="192"/>
      <c r="G168" s="294"/>
      <c r="H168" s="235">
        <f>-MIN($G170*$E168,H167)</f>
        <v>0</v>
      </c>
      <c r="I168" s="235">
        <f ca="1">-MIN($G170*$E168,I167)</f>
        <v>0</v>
      </c>
      <c r="J168" s="235">
        <f ca="1">-MIN($G170*$E168,J167)</f>
        <v>0</v>
      </c>
      <c r="K168" s="235">
        <f ca="1">-MIN($G170*$E168,K167)</f>
        <v>0</v>
      </c>
      <c r="L168" s="235">
        <f ca="1">-MIN($G170*$E168,L167)</f>
        <v>0</v>
      </c>
      <c r="M168" s="192"/>
    </row>
    <row r="169" spans="1:13" x14ac:dyDescent="0.2">
      <c r="A169" s="192"/>
      <c r="B169" s="192" t="s">
        <v>407</v>
      </c>
      <c r="C169" s="192"/>
      <c r="D169" s="192"/>
      <c r="E169" s="546">
        <v>1</v>
      </c>
      <c r="F169" s="192"/>
      <c r="G169" s="294"/>
      <c r="H169" s="235">
        <f ca="1">-MIN(H157+H161,H167+H168)*$E169</f>
        <v>0</v>
      </c>
      <c r="I169" s="235">
        <f ca="1">-MIN(I157+I161,I167+I168)*$E169</f>
        <v>0</v>
      </c>
      <c r="J169" s="235">
        <f ca="1">-MIN(J157+J161,J167+J168)*$E169</f>
        <v>0</v>
      </c>
      <c r="K169" s="235">
        <f ca="1">-MIN(K157+K161,K167+K168)*$E169</f>
        <v>0</v>
      </c>
      <c r="L169" s="235">
        <f ca="1">-MIN(L157+L161,L167+L168)*$E169</f>
        <v>0</v>
      </c>
      <c r="M169" s="192"/>
    </row>
    <row r="170" spans="1:13" x14ac:dyDescent="0.2">
      <c r="A170" s="192"/>
      <c r="B170" s="192" t="s">
        <v>133</v>
      </c>
      <c r="C170" s="192"/>
      <c r="D170" s="192"/>
      <c r="E170" s="192"/>
      <c r="F170" s="192"/>
      <c r="G170" s="541">
        <v>0</v>
      </c>
      <c r="H170" s="283">
        <f ca="1">SUM(H167:H169)</f>
        <v>0</v>
      </c>
      <c r="I170" s="283">
        <f ca="1">SUM(I167:I169)</f>
        <v>0</v>
      </c>
      <c r="J170" s="283">
        <f ca="1">SUM(J167:J169)</f>
        <v>0</v>
      </c>
      <c r="K170" s="283">
        <f ca="1">SUM(K167:K169)</f>
        <v>0</v>
      </c>
      <c r="L170" s="283">
        <f ca="1">SUM(L167:L169)</f>
        <v>0</v>
      </c>
      <c r="M170" s="192"/>
    </row>
    <row r="171" spans="1:13" x14ac:dyDescent="0.2">
      <c r="A171" s="192"/>
      <c r="B171" s="192"/>
      <c r="C171" s="192"/>
      <c r="D171" s="192"/>
      <c r="E171" s="192"/>
      <c r="F171" s="192"/>
      <c r="G171" s="294"/>
      <c r="H171" s="192"/>
      <c r="I171" s="192"/>
      <c r="J171" s="192"/>
      <c r="K171" s="192"/>
      <c r="L171" s="192"/>
      <c r="M171" s="192"/>
    </row>
    <row r="172" spans="1:13" x14ac:dyDescent="0.2">
      <c r="A172" s="192"/>
      <c r="B172" s="197" t="s">
        <v>408</v>
      </c>
      <c r="C172" s="192"/>
      <c r="D172" s="192"/>
      <c r="E172" s="192"/>
      <c r="F172" s="192"/>
      <c r="G172" s="294"/>
      <c r="H172" s="192"/>
      <c r="I172" s="192"/>
      <c r="J172" s="192"/>
      <c r="K172" s="192"/>
      <c r="L172" s="192"/>
      <c r="M172" s="192"/>
    </row>
    <row r="173" spans="1:13" x14ac:dyDescent="0.2">
      <c r="A173" s="192"/>
      <c r="B173" s="192" t="s">
        <v>130</v>
      </c>
      <c r="C173" s="192"/>
      <c r="D173" s="192"/>
      <c r="E173" s="192"/>
      <c r="F173" s="192"/>
      <c r="G173" s="294"/>
      <c r="H173" s="235">
        <f>G176</f>
        <v>9703</v>
      </c>
      <c r="I173" s="235">
        <f ca="1">H176</f>
        <v>4741.2080790377886</v>
      </c>
      <c r="J173" s="235">
        <f ca="1">I176</f>
        <v>1540.1755158909882</v>
      </c>
      <c r="K173" s="235">
        <f ca="1">J176</f>
        <v>0</v>
      </c>
      <c r="L173" s="235">
        <f ca="1">K176</f>
        <v>0</v>
      </c>
      <c r="M173" s="192"/>
    </row>
    <row r="174" spans="1:13" x14ac:dyDescent="0.2">
      <c r="A174" s="192"/>
      <c r="B174" s="192" t="s">
        <v>406</v>
      </c>
      <c r="C174" s="192"/>
      <c r="D174" s="192"/>
      <c r="E174" s="547">
        <v>0</v>
      </c>
      <c r="F174" s="192"/>
      <c r="G174" s="294"/>
      <c r="H174" s="235">
        <f>-MIN($G176*$E174,H173)</f>
        <v>0</v>
      </c>
      <c r="I174" s="235">
        <f ca="1">-MIN($G176*$E174,I173)</f>
        <v>0</v>
      </c>
      <c r="J174" s="235">
        <f ca="1">-MIN($G176*$E174,J173)</f>
        <v>0</v>
      </c>
      <c r="K174" s="235">
        <f ca="1">-MIN($G176*$E174,K173)</f>
        <v>0</v>
      </c>
      <c r="L174" s="235">
        <f ca="1">-MIN($G176*$E174,L173)</f>
        <v>0</v>
      </c>
      <c r="M174" s="192"/>
    </row>
    <row r="175" spans="1:13" x14ac:dyDescent="0.2">
      <c r="A175" s="192"/>
      <c r="B175" s="192" t="s">
        <v>407</v>
      </c>
      <c r="C175" s="192"/>
      <c r="D175" s="192"/>
      <c r="E175" s="546">
        <v>1</v>
      </c>
      <c r="F175" s="192"/>
      <c r="G175" s="294"/>
      <c r="H175" s="235">
        <f ca="1">-MIN(H157+H161+H169,H173+H174)*$E175</f>
        <v>-4961.7919209622114</v>
      </c>
      <c r="I175" s="235">
        <f ca="1">-MIN(I157+I161+I169,I173+I174)*$E175</f>
        <v>-3201.0325631467949</v>
      </c>
      <c r="J175" s="235">
        <f ca="1">-MIN(J157+J161+J169,J173+J174)*$E175</f>
        <v>-1540.1755158909882</v>
      </c>
      <c r="K175" s="235">
        <f ca="1">-MIN(K157+K161+K169,K173+K174)*$E175</f>
        <v>0</v>
      </c>
      <c r="L175" s="235">
        <f ca="1">-MIN(L157+L161+L169,L173+L174)*$E175</f>
        <v>0</v>
      </c>
      <c r="M175" s="192"/>
    </row>
    <row r="176" spans="1:13" x14ac:dyDescent="0.2">
      <c r="A176" s="228" t="s">
        <v>183</v>
      </c>
      <c r="B176" s="192" t="s">
        <v>133</v>
      </c>
      <c r="C176" s="192"/>
      <c r="D176" s="192"/>
      <c r="E176" s="192"/>
      <c r="F176" s="192"/>
      <c r="G176" s="389">
        <f>C21</f>
        <v>9703</v>
      </c>
      <c r="H176" s="283">
        <f ca="1">SUM(H173:H175)</f>
        <v>4741.2080790377886</v>
      </c>
      <c r="I176" s="283">
        <f ca="1">SUM(I173:I175)</f>
        <v>1540.1755158909937</v>
      </c>
      <c r="J176" s="283">
        <f ca="1">SUM(J173:J175)</f>
        <v>0</v>
      </c>
      <c r="K176" s="283">
        <f ca="1">SUM(K173:K175)</f>
        <v>0</v>
      </c>
      <c r="L176" s="283">
        <f ca="1">SUM(L173:L175)</f>
        <v>0</v>
      </c>
      <c r="M176" s="192"/>
    </row>
    <row r="177" spans="1:13" x14ac:dyDescent="0.2">
      <c r="A177" s="192"/>
      <c r="B177" s="192"/>
      <c r="C177" s="192"/>
      <c r="D177" s="192"/>
      <c r="E177" s="192"/>
      <c r="F177" s="192"/>
      <c r="G177" s="294"/>
      <c r="H177" s="192"/>
      <c r="I177" s="192"/>
      <c r="J177" s="192"/>
      <c r="K177" s="192"/>
      <c r="L177" s="192"/>
      <c r="M177" s="192"/>
    </row>
    <row r="178" spans="1:13" x14ac:dyDescent="0.2">
      <c r="A178" s="199" t="s">
        <v>190</v>
      </c>
      <c r="B178" s="200" t="s">
        <v>409</v>
      </c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192"/>
    </row>
    <row r="179" spans="1:13" x14ac:dyDescent="0.2">
      <c r="A179" s="192"/>
      <c r="B179" s="192"/>
      <c r="C179" s="192"/>
      <c r="D179" s="192"/>
      <c r="E179" s="383"/>
      <c r="F179" s="383"/>
      <c r="G179" s="313">
        <f>YEAR(D10)</f>
        <v>2022</v>
      </c>
      <c r="H179" s="279">
        <f>G179+1</f>
        <v>2023</v>
      </c>
      <c r="I179" s="279">
        <f>H179+1</f>
        <v>2024</v>
      </c>
      <c r="J179" s="279">
        <f>I179+1</f>
        <v>2025</v>
      </c>
      <c r="K179" s="279">
        <f>J179+1</f>
        <v>2026</v>
      </c>
      <c r="L179" s="279">
        <f>K179+1</f>
        <v>2027</v>
      </c>
      <c r="M179" s="192"/>
    </row>
    <row r="180" spans="1:13" x14ac:dyDescent="0.2">
      <c r="A180" s="192"/>
      <c r="B180" s="192" t="s">
        <v>410</v>
      </c>
      <c r="C180" s="192"/>
      <c r="D180" s="192"/>
      <c r="E180" s="192"/>
      <c r="F180" s="192"/>
      <c r="G180" s="548">
        <f t="shared" ref="G180:L180" si="33">G190/G192</f>
        <v>1.5749924210679305</v>
      </c>
      <c r="H180" s="549">
        <f t="shared" ca="1" si="33"/>
        <v>0.64121920104911911</v>
      </c>
      <c r="I180" s="549">
        <f t="shared" ca="1" si="33"/>
        <v>0.15291289568209684</v>
      </c>
      <c r="J180" s="549">
        <f t="shared" ca="1" si="33"/>
        <v>0</v>
      </c>
      <c r="K180" s="549">
        <f t="shared" ca="1" si="33"/>
        <v>0</v>
      </c>
      <c r="L180" s="549">
        <f t="shared" ca="1" si="33"/>
        <v>0</v>
      </c>
      <c r="M180" s="192"/>
    </row>
    <row r="181" spans="1:13" x14ac:dyDescent="0.2">
      <c r="A181" s="192"/>
      <c r="B181" s="192" t="s">
        <v>411</v>
      </c>
      <c r="C181" s="192"/>
      <c r="D181" s="192"/>
      <c r="E181" s="192"/>
      <c r="F181" s="192"/>
      <c r="G181" s="548">
        <f t="shared" ref="G181:L181" si="34">G191/G192</f>
        <v>-0.75689886214982582</v>
      </c>
      <c r="H181" s="549">
        <f t="shared" ca="1" si="34"/>
        <v>0.37073151505865243</v>
      </c>
      <c r="I181" s="549">
        <f t="shared" ca="1" si="34"/>
        <v>-4.5652649743597319E-2</v>
      </c>
      <c r="J181" s="549">
        <f t="shared" ca="1" si="34"/>
        <v>-0.37586957796773524</v>
      </c>
      <c r="K181" s="549">
        <f t="shared" ca="1" si="34"/>
        <v>-0.62753880351705638</v>
      </c>
      <c r="L181" s="549">
        <f t="shared" ca="1" si="34"/>
        <v>-0.80814624655976319</v>
      </c>
      <c r="M181" s="192"/>
    </row>
    <row r="182" spans="1:13" x14ac:dyDescent="0.2">
      <c r="A182" s="192"/>
      <c r="B182" s="192" t="s">
        <v>412</v>
      </c>
      <c r="C182" s="192"/>
      <c r="D182" s="192"/>
      <c r="E182" s="192"/>
      <c r="F182" s="192"/>
      <c r="G182" s="286"/>
      <c r="H182" s="549">
        <f ca="1">H191/(H192+H195)</f>
        <v>0.50455690561006317</v>
      </c>
      <c r="I182" s="549">
        <f ca="1">I191/(I192+I195)</f>
        <v>-6.1254400797877237E-2</v>
      </c>
      <c r="J182" s="549">
        <f ca="1">J191/(J192+J195)</f>
        <v>-0.49881584756592579</v>
      </c>
      <c r="K182" s="549">
        <f ca="1">K191/(K192+K195)</f>
        <v>-0.82566337086058184</v>
      </c>
      <c r="L182" s="549">
        <f ca="1">L191/(L192+L195)</f>
        <v>-1.0560385657195781</v>
      </c>
      <c r="M182" s="192"/>
    </row>
    <row r="183" spans="1:13" x14ac:dyDescent="0.2">
      <c r="A183" s="192"/>
      <c r="B183" s="192" t="s">
        <v>413</v>
      </c>
      <c r="C183" s="192"/>
      <c r="D183" s="192"/>
      <c r="E183" s="192"/>
      <c r="F183" s="192"/>
      <c r="G183" s="286"/>
      <c r="H183" s="550">
        <f ca="1">H192/H193</f>
        <v>34.714326931490419</v>
      </c>
      <c r="I183" s="550">
        <f ca="1">I192/I193</f>
        <v>88.493640021733384</v>
      </c>
      <c r="J183" s="550">
        <f ca="1">J192/J193</f>
        <v>242.21472321011191</v>
      </c>
      <c r="K183" s="550">
        <f ca="1">K192/K193</f>
        <v>487.86329778549066</v>
      </c>
      <c r="L183" s="550">
        <f ca="1">L192/L193</f>
        <v>652.38122905622936</v>
      </c>
      <c r="M183" s="192"/>
    </row>
    <row r="184" spans="1:13" x14ac:dyDescent="0.2">
      <c r="A184" s="192"/>
      <c r="B184" s="192" t="s">
        <v>414</v>
      </c>
      <c r="C184" s="192"/>
      <c r="D184" s="192"/>
      <c r="E184" s="192"/>
      <c r="F184" s="192"/>
      <c r="G184" s="286"/>
      <c r="H184" s="550">
        <f ca="1">H192/H194</f>
        <v>34.714326931490419</v>
      </c>
      <c r="I184" s="550">
        <f ca="1">I192/I194</f>
        <v>88.493640021733384</v>
      </c>
      <c r="J184" s="550">
        <f ca="1">J192/J194</f>
        <v>242.21472321011191</v>
      </c>
      <c r="K184" s="550">
        <f ca="1">K192/K194</f>
        <v>487.86329778549066</v>
      </c>
      <c r="L184" s="550">
        <f ca="1">L192/L194</f>
        <v>652.38122905622936</v>
      </c>
      <c r="M184" s="192"/>
    </row>
    <row r="185" spans="1:13" x14ac:dyDescent="0.2">
      <c r="A185" s="192"/>
      <c r="B185" s="192" t="s">
        <v>415</v>
      </c>
      <c r="C185" s="192"/>
      <c r="D185" s="192"/>
      <c r="E185" s="192"/>
      <c r="F185" s="192"/>
      <c r="G185" s="286"/>
      <c r="H185" s="550">
        <f ca="1">(H192+H195+H197+H198)/(H194+H196)</f>
        <v>-0.15784569511474525</v>
      </c>
      <c r="I185" s="550">
        <f ca="1">(I192+I195+I197+I198)/(I194+I196)</f>
        <v>37.05261737072825</v>
      </c>
      <c r="J185" s="550">
        <f ca="1">(J192+J195+J197+J198)/(J194+J196)</f>
        <v>101.31353098795852</v>
      </c>
      <c r="K185" s="550">
        <f ca="1">(K192+K195+K197+K198)/(K194+K196)</f>
        <v>204.47022221319071</v>
      </c>
      <c r="L185" s="550">
        <f ca="1">(L192+L195+L197+L198)/(L194+L196)</f>
        <v>265.67349404073263</v>
      </c>
      <c r="M185" s="192"/>
    </row>
    <row r="186" spans="1:13" x14ac:dyDescent="0.2">
      <c r="A186" s="192"/>
      <c r="B186" s="192" t="s">
        <v>416</v>
      </c>
      <c r="C186" s="192"/>
      <c r="D186" s="192"/>
      <c r="E186" s="192"/>
      <c r="F186" s="192"/>
      <c r="G186" s="286"/>
      <c r="H186" s="551">
        <f ca="1">IFERROR(H199/H190,"N/A")</f>
        <v>0.50823464229878057</v>
      </c>
      <c r="I186" s="551">
        <f ca="1">IFERROR(I199/I190,"N/A")</f>
        <v>2.5742352024636284</v>
      </c>
      <c r="J186" s="551" t="str">
        <f ca="1">IFERROR(J199/J190,"N/A")</f>
        <v>N/A</v>
      </c>
      <c r="K186" s="551" t="str">
        <f ca="1">IFERROR(K199/K190,"N/A")</f>
        <v>N/A</v>
      </c>
      <c r="L186" s="551" t="str">
        <f ca="1">IFERROR(L199/L190,"N/A")</f>
        <v>N/A</v>
      </c>
      <c r="M186" s="192"/>
    </row>
    <row r="187" spans="1:13" x14ac:dyDescent="0.2">
      <c r="A187" s="192"/>
      <c r="B187" s="192" t="s">
        <v>417</v>
      </c>
      <c r="C187" s="192"/>
      <c r="D187" s="192"/>
      <c r="E187" s="192"/>
      <c r="F187" s="192"/>
      <c r="G187" s="552">
        <f t="shared" ref="G187:L187" si="35">1-G190/$G$190</f>
        <v>0</v>
      </c>
      <c r="H187" s="553">
        <f t="shared" ca="1" si="35"/>
        <v>0.51136678562941473</v>
      </c>
      <c r="I187" s="553">
        <f t="shared" ca="1" si="35"/>
        <v>0.84126811131701662</v>
      </c>
      <c r="J187" s="553">
        <f t="shared" ca="1" si="35"/>
        <v>1</v>
      </c>
      <c r="K187" s="553">
        <f t="shared" ca="1" si="35"/>
        <v>1</v>
      </c>
      <c r="L187" s="553">
        <f t="shared" ca="1" si="35"/>
        <v>1</v>
      </c>
      <c r="M187" s="192"/>
    </row>
    <row r="188" spans="1:13" x14ac:dyDescent="0.2">
      <c r="A188" s="192"/>
      <c r="B188" s="192"/>
      <c r="C188" s="192"/>
      <c r="D188" s="192"/>
      <c r="E188" s="192"/>
      <c r="F188" s="192"/>
      <c r="G188" s="294"/>
      <c r="H188" s="192"/>
      <c r="I188" s="192"/>
      <c r="J188" s="192"/>
      <c r="K188" s="192"/>
      <c r="L188" s="192"/>
      <c r="M188" s="192"/>
    </row>
    <row r="189" spans="1:13" x14ac:dyDescent="0.2">
      <c r="A189" s="192"/>
      <c r="B189" s="197" t="s">
        <v>418</v>
      </c>
      <c r="C189" s="192"/>
      <c r="D189" s="192"/>
      <c r="E189" s="192"/>
      <c r="F189" s="192"/>
      <c r="G189" s="294"/>
      <c r="H189" s="192"/>
      <c r="I189" s="192"/>
      <c r="J189" s="192"/>
      <c r="K189" s="192"/>
      <c r="L189" s="192"/>
      <c r="M189" s="192"/>
    </row>
    <row r="190" spans="1:13" x14ac:dyDescent="0.2">
      <c r="A190" s="192"/>
      <c r="B190" s="192" t="s">
        <v>259</v>
      </c>
      <c r="C190" s="192"/>
      <c r="D190" s="192"/>
      <c r="E190" s="192"/>
      <c r="F190" s="192"/>
      <c r="G190" s="282">
        <f t="shared" ref="G190:L190" si="36">G162+G170+G176</f>
        <v>9703</v>
      </c>
      <c r="H190" s="232">
        <f t="shared" ca="1" si="36"/>
        <v>4741.2080790377886</v>
      </c>
      <c r="I190" s="232">
        <f t="shared" ca="1" si="36"/>
        <v>1540.1755158909937</v>
      </c>
      <c r="J190" s="232">
        <f t="shared" ca="1" si="36"/>
        <v>0</v>
      </c>
      <c r="K190" s="232">
        <f t="shared" ca="1" si="36"/>
        <v>0</v>
      </c>
      <c r="L190" s="232">
        <f t="shared" ca="1" si="36"/>
        <v>0</v>
      </c>
      <c r="M190" s="192"/>
    </row>
    <row r="191" spans="1:13" x14ac:dyDescent="0.2">
      <c r="A191" s="192"/>
      <c r="B191" s="192" t="s">
        <v>419</v>
      </c>
      <c r="C191" s="192"/>
      <c r="D191" s="192"/>
      <c r="E191" s="192"/>
      <c r="F191" s="192"/>
      <c r="G191" s="286">
        <v>-4663</v>
      </c>
      <c r="H191" s="235">
        <f ca="1">H190-H149</f>
        <v>2741.2080790377886</v>
      </c>
      <c r="I191" s="235">
        <f ca="1">I190-I149</f>
        <v>-459.82448410900452</v>
      </c>
      <c r="J191" s="235">
        <f ca="1">J190-J149</f>
        <v>-5117.7079929219981</v>
      </c>
      <c r="K191" s="235">
        <f ca="1">K190-K149</f>
        <v>-11480.743131457204</v>
      </c>
      <c r="L191" s="235">
        <f ca="1">L190-L149</f>
        <v>-19770.729059543883</v>
      </c>
      <c r="M191" s="192"/>
    </row>
    <row r="192" spans="1:13" x14ac:dyDescent="0.2">
      <c r="A192" s="192"/>
      <c r="B192" s="192" t="s">
        <v>23</v>
      </c>
      <c r="C192" s="192"/>
      <c r="D192" s="192"/>
      <c r="E192" s="192"/>
      <c r="F192" s="192"/>
      <c r="G192" s="286">
        <f t="shared" ref="G192:L192" si="37">G70</f>
        <v>6160.6645658782527</v>
      </c>
      <c r="H192" s="235">
        <f t="shared" si="37"/>
        <v>7394.0519424255344</v>
      </c>
      <c r="I192" s="235">
        <f t="shared" si="37"/>
        <v>10072.240859874797</v>
      </c>
      <c r="J192" s="235">
        <f t="shared" si="37"/>
        <v>13615.648333639016</v>
      </c>
      <c r="K192" s="235">
        <f t="shared" si="37"/>
        <v>18294.8736669559</v>
      </c>
      <c r="L192" s="235">
        <f t="shared" si="37"/>
        <v>24464.296089608601</v>
      </c>
      <c r="M192" s="192"/>
    </row>
    <row r="193" spans="1:13" x14ac:dyDescent="0.2">
      <c r="A193" s="192"/>
      <c r="B193" s="192" t="s">
        <v>420</v>
      </c>
      <c r="C193" s="192"/>
      <c r="D193" s="192"/>
      <c r="E193" s="192"/>
      <c r="F193" s="192"/>
      <c r="G193" s="294"/>
      <c r="H193" s="235">
        <f ca="1">H211</f>
        <v>212.9971281603091</v>
      </c>
      <c r="I193" s="235">
        <f ca="1">I211</f>
        <v>113.81881067838461</v>
      </c>
      <c r="J193" s="235">
        <f ca="1">J211</f>
        <v>56.213132518075554</v>
      </c>
      <c r="K193" s="235">
        <f ca="1">K211</f>
        <v>37.5</v>
      </c>
      <c r="L193" s="235">
        <f ca="1">L211</f>
        <v>37.5</v>
      </c>
      <c r="M193" s="192"/>
    </row>
    <row r="194" spans="1:13" x14ac:dyDescent="0.2">
      <c r="A194" s="192"/>
      <c r="B194" s="192" t="s">
        <v>421</v>
      </c>
      <c r="C194" s="192"/>
      <c r="D194" s="192"/>
      <c r="E194" s="192"/>
      <c r="F194" s="192"/>
      <c r="G194" s="294"/>
      <c r="H194" s="235">
        <f ca="1">H193</f>
        <v>212.9971281603091</v>
      </c>
      <c r="I194" s="235">
        <f ca="1">I193</f>
        <v>113.81881067838461</v>
      </c>
      <c r="J194" s="235">
        <f ca="1">J193</f>
        <v>56.213132518075554</v>
      </c>
      <c r="K194" s="235">
        <f ca="1">K193</f>
        <v>37.5</v>
      </c>
      <c r="L194" s="235">
        <f ca="1">L193</f>
        <v>37.5</v>
      </c>
      <c r="M194" s="192"/>
    </row>
    <row r="195" spans="1:13" x14ac:dyDescent="0.2">
      <c r="A195" s="192"/>
      <c r="B195" s="192" t="s">
        <v>422</v>
      </c>
      <c r="C195" s="192"/>
      <c r="D195" s="192"/>
      <c r="E195" s="192"/>
      <c r="F195" s="192"/>
      <c r="G195" s="294"/>
      <c r="H195" s="235">
        <f>H136</f>
        <v>-1961.1502249802497</v>
      </c>
      <c r="I195" s="235">
        <f>I136</f>
        <v>-2565.4417055363419</v>
      </c>
      <c r="J195" s="235">
        <f>J136</f>
        <v>-3355.9342169065585</v>
      </c>
      <c r="K195" s="235">
        <f>K136</f>
        <v>-4390.0020974554527</v>
      </c>
      <c r="L195" s="235">
        <f>L136</f>
        <v>-5742.6985065958725</v>
      </c>
      <c r="M195" s="192"/>
    </row>
    <row r="196" spans="1:13" x14ac:dyDescent="0.2">
      <c r="A196" s="192"/>
      <c r="B196" s="192" t="s">
        <v>406</v>
      </c>
      <c r="C196" s="192"/>
      <c r="D196" s="192"/>
      <c r="E196" s="192"/>
      <c r="F196" s="192"/>
      <c r="G196" s="294"/>
      <c r="H196" s="235">
        <f>-H141</f>
        <v>-28710.063023652405</v>
      </c>
      <c r="I196" s="235">
        <f>-I141</f>
        <v>0</v>
      </c>
      <c r="J196" s="235">
        <f>-J141</f>
        <v>0</v>
      </c>
      <c r="K196" s="235">
        <f>-K141</f>
        <v>0</v>
      </c>
      <c r="L196" s="235">
        <f>-L141</f>
        <v>0</v>
      </c>
      <c r="M196" s="192"/>
    </row>
    <row r="197" spans="1:13" x14ac:dyDescent="0.2">
      <c r="A197" s="192"/>
      <c r="B197" s="192" t="s">
        <v>423</v>
      </c>
      <c r="C197" s="192"/>
      <c r="D197" s="192"/>
      <c r="E197" s="192"/>
      <c r="F197" s="192"/>
      <c r="G197" s="294"/>
      <c r="H197" s="235">
        <f ca="1">-H230</f>
        <v>-816.14641265690761</v>
      </c>
      <c r="I197" s="235">
        <f ca="1">-I230</f>
        <v>-1615.8713571390279</v>
      </c>
      <c r="J197" s="235">
        <f ca="1">-J230</f>
        <v>-2349.0590675909129</v>
      </c>
      <c r="K197" s="235">
        <f ca="1">-K230</f>
        <v>-3310.2927175870946</v>
      </c>
      <c r="L197" s="235">
        <f ca="1">-L230</f>
        <v>-4898.3598036072262</v>
      </c>
      <c r="M197" s="192"/>
    </row>
    <row r="198" spans="1:13" x14ac:dyDescent="0.2">
      <c r="A198" s="192"/>
      <c r="B198" s="192" t="s">
        <v>424</v>
      </c>
      <c r="C198" s="192"/>
      <c r="D198" s="192"/>
      <c r="E198" s="192"/>
      <c r="F198" s="192"/>
      <c r="G198" s="294"/>
      <c r="H198" s="235">
        <f>H130</f>
        <v>-118.61612978372796</v>
      </c>
      <c r="I198" s="235">
        <f>I130</f>
        <v>-1673.6429555418808</v>
      </c>
      <c r="J198" s="235">
        <f>J130</f>
        <v>-2215.5041058412762</v>
      </c>
      <c r="K198" s="235">
        <f>K130</f>
        <v>-2926.9455189187011</v>
      </c>
      <c r="L198" s="235">
        <f>L130</f>
        <v>-3860.4817528780295</v>
      </c>
      <c r="M198" s="192"/>
    </row>
    <row r="199" spans="1:13" x14ac:dyDescent="0.2">
      <c r="A199" s="228" t="s">
        <v>183</v>
      </c>
      <c r="B199" s="192" t="s">
        <v>391</v>
      </c>
      <c r="C199" s="192"/>
      <c r="D199" s="192"/>
      <c r="E199" s="192"/>
      <c r="F199" s="192"/>
      <c r="G199" s="294"/>
      <c r="H199" s="235">
        <f ca="1">H134+H137</f>
        <v>2409.6461921138589</v>
      </c>
      <c r="I199" s="235">
        <f ca="1">I134+I137</f>
        <v>3964.7740309791616</v>
      </c>
      <c r="J199" s="235">
        <f ca="1">J134+J137</f>
        <v>5665.6292157556509</v>
      </c>
      <c r="K199" s="235">
        <f ca="1">K134+K137</f>
        <v>7692.3775247110743</v>
      </c>
      <c r="L199" s="235">
        <f ca="1">L134+L137</f>
        <v>10042.449047243728</v>
      </c>
      <c r="M199" s="192"/>
    </row>
    <row r="200" spans="1:13" x14ac:dyDescent="0.2">
      <c r="A200" s="228"/>
      <c r="B200" s="192"/>
      <c r="C200" s="192"/>
      <c r="D200" s="192"/>
      <c r="E200" s="192"/>
      <c r="F200" s="192"/>
      <c r="G200" s="192"/>
      <c r="H200" s="192"/>
      <c r="I200" s="192"/>
      <c r="J200" s="192"/>
      <c r="K200" s="192"/>
      <c r="L200" s="192"/>
      <c r="M200" s="192"/>
    </row>
    <row r="201" spans="1:13" x14ac:dyDescent="0.2">
      <c r="A201" s="192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</row>
    <row r="202" spans="1:13" x14ac:dyDescent="0.2">
      <c r="A202" s="199" t="s">
        <v>190</v>
      </c>
      <c r="B202" s="200" t="s">
        <v>425</v>
      </c>
      <c r="C202" s="200"/>
      <c r="D202" s="200"/>
      <c r="E202" s="200"/>
      <c r="F202" s="200"/>
      <c r="G202" s="200"/>
      <c r="H202" s="200"/>
      <c r="I202" s="200"/>
      <c r="J202" s="200"/>
      <c r="K202" s="200"/>
      <c r="L202" s="200"/>
      <c r="M202" s="192"/>
    </row>
    <row r="203" spans="1:13" x14ac:dyDescent="0.2">
      <c r="A203" s="192"/>
      <c r="B203" s="192"/>
      <c r="C203" s="192"/>
      <c r="D203" s="192"/>
      <c r="E203" s="383"/>
      <c r="F203" s="383"/>
      <c r="G203" s="313">
        <f>YEAR(D10)</f>
        <v>2022</v>
      </c>
      <c r="H203" s="279">
        <f>G203+1</f>
        <v>2023</v>
      </c>
      <c r="I203" s="279">
        <f>H203+1</f>
        <v>2024</v>
      </c>
      <c r="J203" s="279">
        <f>I203+1</f>
        <v>2025</v>
      </c>
      <c r="K203" s="279">
        <f>J203+1</f>
        <v>2026</v>
      </c>
      <c r="L203" s="279">
        <f>K203+1</f>
        <v>2027</v>
      </c>
      <c r="M203" s="192"/>
    </row>
    <row r="204" spans="1:13" x14ac:dyDescent="0.2">
      <c r="A204" s="192"/>
      <c r="B204" s="192" t="s">
        <v>313</v>
      </c>
      <c r="C204" s="192"/>
      <c r="D204" s="192"/>
      <c r="E204" s="192"/>
      <c r="F204" s="192"/>
      <c r="G204" s="593">
        <f>'Detailed Acquire'!G274</f>
        <v>3.9699999999999999E-2</v>
      </c>
      <c r="H204" s="403">
        <f>'Detailed Acquire'!H274</f>
        <v>5.9900000000000002E-2</v>
      </c>
      <c r="I204" s="403">
        <f>'Detailed Acquire'!I274</f>
        <v>3.85E-2</v>
      </c>
      <c r="J204" s="403">
        <f>'Detailed Acquire'!J274</f>
        <v>2.8000000000000001E-2</v>
      </c>
      <c r="K204" s="403">
        <f>'Detailed Acquire'!K274</f>
        <v>3.1E-2</v>
      </c>
      <c r="L204" s="403">
        <f>'Detailed Acquire'!L274</f>
        <v>4.1000000000000002E-2</v>
      </c>
      <c r="M204" s="192"/>
    </row>
    <row r="205" spans="1:13" x14ac:dyDescent="0.2">
      <c r="A205" s="192"/>
      <c r="B205" s="192"/>
      <c r="C205" s="192"/>
      <c r="D205" s="192"/>
      <c r="E205" s="202" t="s">
        <v>244</v>
      </c>
      <c r="F205" s="192"/>
      <c r="G205" s="294"/>
      <c r="H205" s="192"/>
      <c r="I205" s="192"/>
      <c r="J205" s="192"/>
      <c r="K205" s="192"/>
      <c r="L205" s="192"/>
      <c r="M205" s="192"/>
    </row>
    <row r="206" spans="1:13" x14ac:dyDescent="0.2">
      <c r="A206" s="192"/>
      <c r="B206" s="192"/>
      <c r="C206" s="192"/>
      <c r="D206" s="192"/>
      <c r="E206" s="202" t="s">
        <v>426</v>
      </c>
      <c r="F206" s="202" t="s">
        <v>251</v>
      </c>
      <c r="G206" s="294"/>
      <c r="H206" s="192"/>
      <c r="I206" s="192"/>
      <c r="J206" s="192"/>
      <c r="K206" s="192"/>
      <c r="L206" s="192"/>
      <c r="M206" s="192"/>
    </row>
    <row r="207" spans="1:13" x14ac:dyDescent="0.2">
      <c r="A207" s="192"/>
      <c r="B207" s="192" t="s">
        <v>134</v>
      </c>
      <c r="C207" s="192"/>
      <c r="D207" s="192"/>
      <c r="E207" s="242">
        <v>400</v>
      </c>
      <c r="F207" s="212">
        <v>0.01</v>
      </c>
      <c r="G207" s="294"/>
      <c r="H207" s="235">
        <f ca="1">(MAX(H$204,$F207)+$E207/10000)*AVERAGE(H160,H162)</f>
        <v>0</v>
      </c>
      <c r="I207" s="235">
        <f ca="1">(MAX(I$204,$F207)+$E207/10000)*AVERAGE(I160,I162)</f>
        <v>0</v>
      </c>
      <c r="J207" s="235">
        <f ca="1">(MAX(J$204,$F207)+$E207/10000)*AVERAGE(J160,J162)</f>
        <v>0</v>
      </c>
      <c r="K207" s="235">
        <f ca="1">(MAX(K$204,$F207)+$E207/10000)*AVERAGE(K160,K162)</f>
        <v>0</v>
      </c>
      <c r="L207" s="235">
        <f ca="1">(MAX(L$204,$F207)+$E207/10000)*AVERAGE(L160,L162)</f>
        <v>0</v>
      </c>
      <c r="M207" s="192"/>
    </row>
    <row r="208" spans="1:13" x14ac:dyDescent="0.2">
      <c r="A208" s="192"/>
      <c r="B208" s="192" t="s">
        <v>427</v>
      </c>
      <c r="C208" s="192"/>
      <c r="D208" s="192"/>
      <c r="E208" s="242">
        <v>450</v>
      </c>
      <c r="F208" s="212">
        <v>0.01</v>
      </c>
      <c r="G208" s="294"/>
      <c r="H208" s="235">
        <f ca="1">(MAX(H$204,$F208)+$E208/10000)*AVERAGE(H167,H170)</f>
        <v>0</v>
      </c>
      <c r="I208" s="235">
        <f ca="1">(MAX(I$204,$F208)+$E208/10000)*AVERAGE(I167,I170)</f>
        <v>0</v>
      </c>
      <c r="J208" s="235">
        <f ca="1">(MAX(J$204,$F208)+$E208/10000)*AVERAGE(J167,J170)</f>
        <v>0</v>
      </c>
      <c r="K208" s="235">
        <f ca="1">(MAX(K$204,$F208)+$E208/10000)*AVERAGE(K167,K170)</f>
        <v>0</v>
      </c>
      <c r="L208" s="235">
        <f ca="1">(MAX(L$204,$F208)+$E208/10000)*AVERAGE(L167,L170)</f>
        <v>0</v>
      </c>
      <c r="M208" s="192"/>
    </row>
    <row r="209" spans="1:13" x14ac:dyDescent="0.2">
      <c r="A209" s="192"/>
      <c r="B209" s="192" t="s">
        <v>258</v>
      </c>
      <c r="C209" s="192"/>
      <c r="D209" s="192"/>
      <c r="E209" s="410">
        <f>'Detailed Acquire'!E279</f>
        <v>2.4299999999999999E-2</v>
      </c>
      <c r="F209" s="407"/>
      <c r="G209" s="294"/>
      <c r="H209" s="235">
        <f ca="1">$E209*AVERAGE(H173,H176)</f>
        <v>175.4971281603091</v>
      </c>
      <c r="I209" s="235">
        <f ca="1">$E209*AVERAGE(I173,I176)</f>
        <v>76.318810678384693</v>
      </c>
      <c r="J209" s="235">
        <f ca="1">$E209*AVERAGE(J173,J176)</f>
        <v>18.713132518075504</v>
      </c>
      <c r="K209" s="235">
        <f ca="1">$E209*AVERAGE(K173,K176)</f>
        <v>0</v>
      </c>
      <c r="L209" s="235">
        <f ca="1">$E209*AVERAGE(L173,L176)</f>
        <v>0</v>
      </c>
      <c r="M209" s="192"/>
    </row>
    <row r="210" spans="1:13" x14ac:dyDescent="0.2">
      <c r="A210" s="192"/>
      <c r="B210" s="192" t="s">
        <v>428</v>
      </c>
      <c r="C210" s="192"/>
      <c r="D210" s="192"/>
      <c r="E210" s="410">
        <v>5.0000000000000001E-3</v>
      </c>
      <c r="F210" s="192"/>
      <c r="G210" s="294"/>
      <c r="H210" s="235">
        <f ca="1">$E$210*H163</f>
        <v>37.5</v>
      </c>
      <c r="I210" s="235">
        <f ca="1">$E$210*I163</f>
        <v>37.5</v>
      </c>
      <c r="J210" s="235">
        <f ca="1">$E$210*J163</f>
        <v>37.5</v>
      </c>
      <c r="K210" s="235">
        <f ca="1">$E$210*K163</f>
        <v>37.5</v>
      </c>
      <c r="L210" s="235">
        <f ca="1">$E$210*L163</f>
        <v>37.5</v>
      </c>
      <c r="M210" s="192"/>
    </row>
    <row r="211" spans="1:13" x14ac:dyDescent="0.2">
      <c r="A211" s="192"/>
      <c r="B211" s="192" t="s">
        <v>429</v>
      </c>
      <c r="C211" s="192"/>
      <c r="D211" s="192"/>
      <c r="E211" s="192"/>
      <c r="F211" s="192"/>
      <c r="G211" s="294"/>
      <c r="H211" s="283">
        <f ca="1">SUM(H207:H210)</f>
        <v>212.9971281603091</v>
      </c>
      <c r="I211" s="283">
        <f ca="1">SUM(I207:I210)</f>
        <v>113.81881067838469</v>
      </c>
      <c r="J211" s="283">
        <f ca="1">SUM(J207:J210)</f>
        <v>56.213132518075504</v>
      </c>
      <c r="K211" s="283">
        <f ca="1">SUM(K207:K210)</f>
        <v>37.5</v>
      </c>
      <c r="L211" s="283">
        <f ca="1">SUM(L207:L210)</f>
        <v>37.5</v>
      </c>
      <c r="M211" s="192"/>
    </row>
    <row r="212" spans="1:13" x14ac:dyDescent="0.2">
      <c r="A212" s="192"/>
      <c r="B212" s="192"/>
      <c r="C212" s="192"/>
      <c r="D212" s="192"/>
      <c r="E212" s="192"/>
      <c r="F212" s="192"/>
      <c r="G212" s="294"/>
      <c r="H212" s="192"/>
      <c r="I212" s="192"/>
      <c r="J212" s="192"/>
      <c r="K212" s="192"/>
      <c r="L212" s="192"/>
      <c r="M212" s="192"/>
    </row>
    <row r="213" spans="1:13" x14ac:dyDescent="0.2">
      <c r="A213" s="192"/>
      <c r="B213" s="197" t="s">
        <v>430</v>
      </c>
      <c r="C213" s="192"/>
      <c r="D213" s="192"/>
      <c r="E213" s="202"/>
      <c r="F213" s="202"/>
      <c r="G213" s="192"/>
      <c r="H213" s="554"/>
      <c r="I213" s="192"/>
      <c r="J213" s="192"/>
      <c r="K213" s="192"/>
      <c r="L213" s="192"/>
      <c r="M213" s="192"/>
    </row>
    <row r="214" spans="1:13" x14ac:dyDescent="0.2">
      <c r="A214" s="192"/>
      <c r="B214" s="192" t="s">
        <v>432</v>
      </c>
      <c r="C214" s="192"/>
      <c r="D214" s="192"/>
      <c r="E214" s="192"/>
      <c r="F214" s="192"/>
      <c r="G214" s="294"/>
      <c r="H214" s="232">
        <v>0</v>
      </c>
      <c r="I214" s="232">
        <v>0</v>
      </c>
      <c r="J214" s="232">
        <v>0</v>
      </c>
      <c r="K214" s="232">
        <v>0</v>
      </c>
      <c r="L214" s="232">
        <v>0</v>
      </c>
      <c r="M214" s="192"/>
    </row>
    <row r="215" spans="1:13" x14ac:dyDescent="0.2">
      <c r="A215" s="192"/>
      <c r="B215" s="192"/>
      <c r="C215" s="192"/>
      <c r="D215" s="192"/>
      <c r="E215" s="192"/>
      <c r="F215" s="192"/>
      <c r="G215" s="294"/>
      <c r="H215" s="192"/>
      <c r="I215" s="192"/>
      <c r="J215" s="192"/>
      <c r="K215" s="192"/>
      <c r="L215" s="192"/>
      <c r="M215" s="192"/>
    </row>
    <row r="216" spans="1:13" x14ac:dyDescent="0.2">
      <c r="A216" s="192"/>
      <c r="B216" s="192" t="s">
        <v>433</v>
      </c>
      <c r="C216" s="192"/>
      <c r="D216" s="192"/>
      <c r="E216" s="410">
        <v>7.4999999999999997E-3</v>
      </c>
      <c r="F216" s="192"/>
      <c r="G216" s="294"/>
      <c r="H216" s="235">
        <f ca="1">$E$216*AVERAGE(H147,H149)</f>
        <v>20.208749999999998</v>
      </c>
      <c r="I216" s="235">
        <f ca="1">$E$216*AVERAGE(I147,I149)</f>
        <v>14.999999999999986</v>
      </c>
      <c r="J216" s="235">
        <f ca="1">$E$216*AVERAGE(J147,J149)</f>
        <v>26.691404973457498</v>
      </c>
      <c r="K216" s="235">
        <f ca="1">$E$216*AVERAGE(K147,K149)</f>
        <v>62.244191716422002</v>
      </c>
      <c r="L216" s="235">
        <f ca="1">$E$216*AVERAGE(L147,L149)</f>
        <v>117.1930207162541</v>
      </c>
      <c r="M216" s="192"/>
    </row>
    <row r="217" spans="1:13" x14ac:dyDescent="0.2">
      <c r="A217" s="192"/>
      <c r="B217" s="192"/>
      <c r="C217" s="192"/>
      <c r="D217" s="192"/>
      <c r="E217" s="192"/>
      <c r="F217" s="192"/>
      <c r="G217" s="294"/>
      <c r="H217" s="192"/>
      <c r="I217" s="192"/>
      <c r="J217" s="192"/>
      <c r="K217" s="192"/>
      <c r="L217" s="192"/>
      <c r="M217" s="192"/>
    </row>
    <row r="218" spans="1:13" x14ac:dyDescent="0.2">
      <c r="A218" s="228" t="s">
        <v>183</v>
      </c>
      <c r="B218" s="216" t="s">
        <v>148</v>
      </c>
      <c r="C218" s="192"/>
      <c r="D218" s="192"/>
      <c r="E218" s="192"/>
      <c r="F218" s="192"/>
      <c r="G218" s="294"/>
      <c r="H218" s="226">
        <f ca="1">IF(circ=1,H211-H216,0)</f>
        <v>192.78837816030909</v>
      </c>
      <c r="I218" s="226">
        <f ca="1">IF(circ=1,I211-I216,0)</f>
        <v>98.818810678384708</v>
      </c>
      <c r="J218" s="226">
        <f ca="1">IF(circ=1,J211-J216,0)</f>
        <v>29.521727544618006</v>
      </c>
      <c r="K218" s="226">
        <f ca="1">IF(circ=1,K211-K216,0)</f>
        <v>-24.744191716422002</v>
      </c>
      <c r="L218" s="226">
        <f ca="1">IF(circ=1,L211-L216,0)</f>
        <v>-79.693020716254097</v>
      </c>
      <c r="M218" s="192"/>
    </row>
    <row r="219" spans="1:13" x14ac:dyDescent="0.2">
      <c r="A219" s="192"/>
      <c r="B219" s="192"/>
      <c r="C219" s="192"/>
      <c r="D219" s="192"/>
      <c r="E219" s="192"/>
      <c r="F219" s="192"/>
      <c r="G219" s="294"/>
      <c r="H219" s="192"/>
      <c r="I219" s="192"/>
      <c r="J219" s="192"/>
      <c r="K219" s="192"/>
      <c r="L219" s="192"/>
      <c r="M219" s="192"/>
    </row>
    <row r="220" spans="1:13" x14ac:dyDescent="0.2">
      <c r="A220" s="192"/>
      <c r="B220" s="200" t="s">
        <v>434</v>
      </c>
      <c r="C220" s="200"/>
      <c r="D220" s="200"/>
      <c r="E220" s="200"/>
      <c r="F220" s="200"/>
      <c r="G220" s="200"/>
      <c r="H220" s="200"/>
      <c r="I220" s="200"/>
      <c r="J220" s="200"/>
      <c r="K220" s="200"/>
      <c r="L220" s="200"/>
      <c r="M220" s="192"/>
    </row>
    <row r="221" spans="1:13" x14ac:dyDescent="0.2">
      <c r="A221" s="199" t="s">
        <v>190</v>
      </c>
      <c r="B221" s="192"/>
      <c r="C221" s="192"/>
      <c r="D221" s="192"/>
      <c r="E221" s="192"/>
      <c r="F221" s="192"/>
      <c r="G221" s="313">
        <f>YEAR(D10)</f>
        <v>2022</v>
      </c>
      <c r="H221" s="279">
        <f>G221+1</f>
        <v>2023</v>
      </c>
      <c r="I221" s="279">
        <f>H221+1</f>
        <v>2024</v>
      </c>
      <c r="J221" s="279">
        <f>I221+1</f>
        <v>2025</v>
      </c>
      <c r="K221" s="279">
        <f>J221+1</f>
        <v>2026</v>
      </c>
      <c r="L221" s="279">
        <f>K221+1</f>
        <v>2027</v>
      </c>
      <c r="M221" s="192"/>
    </row>
    <row r="222" spans="1:13" x14ac:dyDescent="0.2">
      <c r="A222" s="199"/>
      <c r="B222" s="192" t="s">
        <v>32</v>
      </c>
      <c r="C222" s="192"/>
      <c r="D222" s="192"/>
      <c r="E222" s="192"/>
      <c r="F222" s="192"/>
      <c r="G222" s="384"/>
      <c r="H222" s="232">
        <f ca="1">H87</f>
        <v>5719.9588416120614</v>
      </c>
      <c r="I222" s="232">
        <f ca="1">I87</f>
        <v>8091.2670600531956</v>
      </c>
      <c r="J222" s="232">
        <f ca="1">J87</f>
        <v>11179.606895559531</v>
      </c>
      <c r="K222" s="232">
        <f ca="1">K87</f>
        <v>15227.160320410039</v>
      </c>
      <c r="L222" s="232">
        <f ca="1">L87</f>
        <v>20554.234930406968</v>
      </c>
      <c r="M222" s="192"/>
    </row>
    <row r="223" spans="1:13" x14ac:dyDescent="0.2">
      <c r="A223" s="192"/>
      <c r="B223" s="192" t="s">
        <v>435</v>
      </c>
      <c r="C223" s="192"/>
      <c r="D223" s="192"/>
      <c r="E223" s="192"/>
      <c r="F223" s="192"/>
      <c r="G223" s="294"/>
      <c r="H223" s="235">
        <f ca="1">H249</f>
        <v>0</v>
      </c>
      <c r="I223" s="235">
        <f ca="1">I249</f>
        <v>0</v>
      </c>
      <c r="J223" s="235">
        <f ca="1">J249</f>
        <v>0</v>
      </c>
      <c r="K223" s="235">
        <f ca="1">K249</f>
        <v>0</v>
      </c>
      <c r="L223" s="235">
        <f ca="1">L249</f>
        <v>0</v>
      </c>
      <c r="M223" s="192"/>
    </row>
    <row r="224" spans="1:13" x14ac:dyDescent="0.2">
      <c r="A224" s="192"/>
      <c r="B224" s="192" t="s">
        <v>436</v>
      </c>
      <c r="C224" s="192"/>
      <c r="D224" s="192"/>
      <c r="E224" s="192"/>
      <c r="F224" s="192"/>
      <c r="G224" s="294"/>
      <c r="H224" s="235">
        <f>-H254</f>
        <v>-1961.1502249802497</v>
      </c>
      <c r="I224" s="235">
        <f>-I254</f>
        <v>-2565.4417055363419</v>
      </c>
      <c r="J224" s="235">
        <f>-J254</f>
        <v>-3355.9342169065585</v>
      </c>
      <c r="K224" s="235">
        <f>-K254</f>
        <v>-4390.0020974554527</v>
      </c>
      <c r="L224" s="235">
        <f>-L254</f>
        <v>-4594.1588052766983</v>
      </c>
      <c r="M224" s="412"/>
    </row>
    <row r="225" spans="1:13" x14ac:dyDescent="0.2">
      <c r="A225" s="192"/>
      <c r="B225" s="192" t="s">
        <v>437</v>
      </c>
      <c r="C225" s="192"/>
      <c r="D225" s="192"/>
      <c r="E225" s="192"/>
      <c r="F225" s="192"/>
      <c r="G225" s="294"/>
      <c r="H225" s="235">
        <f>H263</f>
        <v>0</v>
      </c>
      <c r="I225" s="235">
        <f>I263</f>
        <v>245.14377812253122</v>
      </c>
      <c r="J225" s="235">
        <f>J263</f>
        <v>565.82399131457396</v>
      </c>
      <c r="K225" s="235">
        <f>K263</f>
        <v>985.31576842789366</v>
      </c>
      <c r="L225" s="235">
        <f>L263</f>
        <v>1534.066030609825</v>
      </c>
      <c r="M225" s="192"/>
    </row>
    <row r="226" spans="1:13" x14ac:dyDescent="0.2">
      <c r="A226" s="192"/>
      <c r="B226" s="192" t="s">
        <v>438</v>
      </c>
      <c r="C226" s="192"/>
      <c r="D226" s="192"/>
      <c r="E226" s="192"/>
      <c r="F226" s="192"/>
      <c r="G226" s="294"/>
      <c r="H226" s="555">
        <f ca="1">SUM(H222:H225)</f>
        <v>3758.8086166318117</v>
      </c>
      <c r="I226" s="338">
        <f ca="1">SUM(I222:I225)</f>
        <v>5770.969132639385</v>
      </c>
      <c r="J226" s="338">
        <f ca="1">SUM(J222:J225)</f>
        <v>8389.496669967546</v>
      </c>
      <c r="K226" s="338">
        <f ca="1">SUM(K222:K225)</f>
        <v>11822.47399138248</v>
      </c>
      <c r="L226" s="338">
        <f ca="1">SUM(L222:L225)</f>
        <v>17494.142155740094</v>
      </c>
      <c r="M226" s="192"/>
    </row>
    <row r="227" spans="1:13" x14ac:dyDescent="0.2">
      <c r="A227" s="192"/>
      <c r="B227" s="192" t="s">
        <v>439</v>
      </c>
      <c r="C227" s="192"/>
      <c r="D227" s="192"/>
      <c r="E227" s="192"/>
      <c r="F227" s="192"/>
      <c r="G227" s="294"/>
      <c r="H227" s="235">
        <f ca="1">H268</f>
        <v>-844</v>
      </c>
      <c r="I227" s="235">
        <f ca="1">I268</f>
        <v>0</v>
      </c>
      <c r="J227" s="235">
        <f ca="1">J268</f>
        <v>0</v>
      </c>
      <c r="K227" s="235">
        <f ca="1">K268</f>
        <v>0</v>
      </c>
      <c r="L227" s="235">
        <f ca="1">L268</f>
        <v>0</v>
      </c>
      <c r="M227" s="192"/>
    </row>
    <row r="228" spans="1:13" x14ac:dyDescent="0.2">
      <c r="A228" s="192"/>
      <c r="B228" s="192" t="s">
        <v>440</v>
      </c>
      <c r="C228" s="192"/>
      <c r="D228" s="192"/>
      <c r="E228" s="192"/>
      <c r="F228" s="192"/>
      <c r="G228" s="294"/>
      <c r="H228" s="283">
        <f ca="1">SUM(H226:H227)</f>
        <v>2914.8086166318117</v>
      </c>
      <c r="I228" s="283">
        <f ca="1">SUM(I226:I227)</f>
        <v>5770.969132639385</v>
      </c>
      <c r="J228" s="283">
        <f ca="1">SUM(J226:J227)</f>
        <v>8389.496669967546</v>
      </c>
      <c r="K228" s="283">
        <f ca="1">SUM(K226:K227)</f>
        <v>11822.47399138248</v>
      </c>
      <c r="L228" s="283">
        <f ca="1">SUM(L226:L227)</f>
        <v>17494.142155740094</v>
      </c>
      <c r="M228" s="192"/>
    </row>
    <row r="229" spans="1:13" x14ac:dyDescent="0.2">
      <c r="A229" s="192"/>
      <c r="B229" s="192"/>
      <c r="C229" s="192"/>
      <c r="D229" s="202"/>
      <c r="E229" s="202"/>
      <c r="F229" s="202" t="s">
        <v>443</v>
      </c>
      <c r="G229" s="294"/>
      <c r="H229" s="192"/>
      <c r="I229" s="192"/>
      <c r="J229" s="192"/>
      <c r="K229" s="192"/>
      <c r="L229" s="192"/>
      <c r="M229" s="192"/>
    </row>
    <row r="230" spans="1:13" x14ac:dyDescent="0.2">
      <c r="A230" s="192"/>
      <c r="B230" s="216" t="s">
        <v>378</v>
      </c>
      <c r="C230" s="192"/>
      <c r="D230" s="556"/>
      <c r="E230" s="556"/>
      <c r="F230" s="545">
        <v>0.28000000000000003</v>
      </c>
      <c r="G230" s="294"/>
      <c r="H230" s="221">
        <f ca="1">MAX(H228*$F$230,0)</f>
        <v>816.14641265690739</v>
      </c>
      <c r="I230" s="221">
        <f ca="1">MAX(I228*$F$230,0)</f>
        <v>1615.8713571390279</v>
      </c>
      <c r="J230" s="221">
        <f ca="1">MAX(J228*$F$230,0)</f>
        <v>2349.0590675909129</v>
      </c>
      <c r="K230" s="221">
        <f ca="1">MAX(K228*$F$230,0)</f>
        <v>3310.2927175870946</v>
      </c>
      <c r="L230" s="221">
        <f ca="1">MAX(L228*$F$230,0)</f>
        <v>4898.3598036072262</v>
      </c>
      <c r="M230" s="235"/>
    </row>
    <row r="231" spans="1:13" x14ac:dyDescent="0.2">
      <c r="A231" s="192"/>
      <c r="B231" s="192"/>
      <c r="C231" s="192"/>
      <c r="D231" s="192"/>
      <c r="E231" s="192"/>
      <c r="F231" s="192"/>
      <c r="G231" s="294"/>
      <c r="H231" s="192"/>
      <c r="I231" s="192"/>
      <c r="J231" s="192"/>
      <c r="K231" s="192"/>
      <c r="L231" s="192"/>
      <c r="M231" s="235"/>
    </row>
    <row r="232" spans="1:13" x14ac:dyDescent="0.2">
      <c r="A232" s="192"/>
      <c r="B232" s="192"/>
      <c r="C232" s="192"/>
      <c r="D232" s="192"/>
      <c r="E232" s="202" t="s">
        <v>23</v>
      </c>
      <c r="F232" s="192"/>
      <c r="G232" s="294"/>
      <c r="H232" s="192"/>
      <c r="I232" s="192"/>
      <c r="J232" s="192"/>
      <c r="K232" s="192"/>
      <c r="L232" s="192"/>
      <c r="M232" s="192"/>
    </row>
    <row r="233" spans="1:13" x14ac:dyDescent="0.2">
      <c r="A233" s="192"/>
      <c r="B233" s="197" t="s">
        <v>444</v>
      </c>
      <c r="C233" s="192"/>
      <c r="D233" s="192"/>
      <c r="E233" s="202" t="s">
        <v>445</v>
      </c>
      <c r="F233" s="192"/>
      <c r="G233" s="294"/>
      <c r="H233" s="192"/>
      <c r="I233" s="192"/>
      <c r="J233" s="192"/>
      <c r="K233" s="192"/>
      <c r="L233" s="192"/>
      <c r="M233" s="192"/>
    </row>
    <row r="234" spans="1:13" x14ac:dyDescent="0.2">
      <c r="A234" s="192"/>
      <c r="B234" s="198" t="s">
        <v>446</v>
      </c>
      <c r="C234" s="192"/>
      <c r="D234" s="192"/>
      <c r="E234" s="557">
        <v>2024</v>
      </c>
      <c r="F234" s="192"/>
      <c r="G234" s="294"/>
      <c r="H234" s="558" t="str">
        <f>IF(H221&gt;$E$234,"EBIT","EBITDA")</f>
        <v>EBITDA</v>
      </c>
      <c r="I234" s="558" t="str">
        <f>IF(I221&gt;$E$234,"EBIT","EBITDA")</f>
        <v>EBITDA</v>
      </c>
      <c r="J234" s="558" t="str">
        <f>IF(J221&gt;$E$234,"EBIT","EBITDA")</f>
        <v>EBIT</v>
      </c>
      <c r="K234" s="558" t="str">
        <f>IF(K221&gt;$E$234,"EBIT","EBITDA")</f>
        <v>EBIT</v>
      </c>
      <c r="L234" s="558" t="str">
        <f>IF(L221&gt;$E$234,"EBIT","EBITDA")</f>
        <v>EBIT</v>
      </c>
      <c r="M234" s="192"/>
    </row>
    <row r="235" spans="1:13" x14ac:dyDescent="0.2">
      <c r="A235" s="192"/>
      <c r="B235" s="192" t="s">
        <v>447</v>
      </c>
      <c r="C235" s="192"/>
      <c r="D235" s="192"/>
      <c r="E235" s="192"/>
      <c r="F235" s="192"/>
      <c r="G235" s="294"/>
      <c r="H235" s="232">
        <f>IF(H221&gt;$E$234,H83-H254+H263,H70+H254-H263)</f>
        <v>9355.2021674057833</v>
      </c>
      <c r="I235" s="232">
        <f>IF(I221&gt;$E$234,I83-I254+I263,I70+I254-I263)</f>
        <v>12392.538787288608</v>
      </c>
      <c r="J235" s="232">
        <f>IF(J221&gt;$E$234,J83-J254+J263,J70+J254-J263)</f>
        <v>8419.0183975121636</v>
      </c>
      <c r="K235" s="232">
        <f>IF(K221&gt;$E$234,K83-K254+K263,K70+K254-K263)</f>
        <v>11797.729799666058</v>
      </c>
      <c r="L235" s="232">
        <f>IF(L221&gt;$E$234,L83-L254+L263,L70+L254-L263)</f>
        <v>17414.449135023839</v>
      </c>
      <c r="M235" s="192"/>
    </row>
    <row r="236" spans="1:13" x14ac:dyDescent="0.2">
      <c r="A236" s="192"/>
      <c r="B236" s="192"/>
      <c r="C236" s="192"/>
      <c r="D236" s="192"/>
      <c r="E236" s="192"/>
      <c r="F236" s="192"/>
      <c r="G236" s="294"/>
      <c r="H236" s="235"/>
      <c r="I236" s="235"/>
      <c r="J236" s="235"/>
      <c r="K236" s="235"/>
      <c r="L236" s="235"/>
      <c r="M236" s="192"/>
    </row>
    <row r="237" spans="1:13" x14ac:dyDescent="0.2">
      <c r="A237" s="192"/>
      <c r="B237" s="192" t="s">
        <v>448</v>
      </c>
      <c r="C237" s="192"/>
      <c r="D237" s="192"/>
      <c r="E237" s="559">
        <v>0.3</v>
      </c>
      <c r="F237" s="192"/>
      <c r="G237" s="294"/>
      <c r="H237" s="235">
        <f>MAX($E$237*H235,0)</f>
        <v>2806.5606502217347</v>
      </c>
      <c r="I237" s="235">
        <f>MAX($E$237*I235,0)</f>
        <v>3717.7616361865821</v>
      </c>
      <c r="J237" s="235">
        <f>MAX($E$237*J235,0)</f>
        <v>2525.7055192536491</v>
      </c>
      <c r="K237" s="235">
        <f>MAX($E$237*K235,0)</f>
        <v>3539.3189398998175</v>
      </c>
      <c r="L237" s="235">
        <f>MAX($E$237*L235,0)</f>
        <v>5224.3347405071518</v>
      </c>
      <c r="M237" s="192"/>
    </row>
    <row r="238" spans="1:13" x14ac:dyDescent="0.2">
      <c r="A238" s="192"/>
      <c r="B238" s="192" t="s">
        <v>449</v>
      </c>
      <c r="C238" s="192"/>
      <c r="D238" s="192"/>
      <c r="E238" s="192"/>
      <c r="F238" s="192"/>
      <c r="G238" s="286"/>
      <c r="H238" s="235">
        <f ca="1">H218</f>
        <v>192.78837816030909</v>
      </c>
      <c r="I238" s="235">
        <f ca="1">I218</f>
        <v>98.818810678384708</v>
      </c>
      <c r="J238" s="235">
        <f ca="1">J218</f>
        <v>29.521727544618006</v>
      </c>
      <c r="K238" s="235">
        <f ca="1">K218</f>
        <v>-24.744191716422002</v>
      </c>
      <c r="L238" s="235">
        <f ca="1">L218</f>
        <v>-79.693020716254097</v>
      </c>
      <c r="M238" s="381"/>
    </row>
    <row r="239" spans="1:13" x14ac:dyDescent="0.2">
      <c r="A239" s="192"/>
      <c r="B239" s="192" t="s">
        <v>450</v>
      </c>
      <c r="C239" s="192"/>
      <c r="D239" s="192"/>
      <c r="E239" s="192"/>
      <c r="F239" s="192"/>
      <c r="G239" s="294"/>
      <c r="H239" s="283">
        <f ca="1">MIN(H237,H238)</f>
        <v>192.78837816030909</v>
      </c>
      <c r="I239" s="283">
        <f ca="1">MIN(I237,I238)</f>
        <v>98.818810678384708</v>
      </c>
      <c r="J239" s="283">
        <f ca="1">MIN(J237,J238)</f>
        <v>29.521727544618006</v>
      </c>
      <c r="K239" s="283">
        <f ca="1">MIN(K237,K238)</f>
        <v>-24.744191716422002</v>
      </c>
      <c r="L239" s="283">
        <f ca="1">MIN(L237,L238)</f>
        <v>-79.693020716254097</v>
      </c>
      <c r="M239" s="381"/>
    </row>
    <row r="240" spans="1:13" x14ac:dyDescent="0.2">
      <c r="A240" s="192"/>
      <c r="B240" s="192"/>
      <c r="C240" s="192"/>
      <c r="D240" s="192"/>
      <c r="E240" s="192"/>
      <c r="F240" s="192"/>
      <c r="G240" s="294"/>
      <c r="H240" s="192"/>
      <c r="I240" s="192"/>
      <c r="J240" s="192"/>
      <c r="K240" s="192"/>
      <c r="L240" s="192"/>
      <c r="M240" s="192"/>
    </row>
    <row r="241" spans="1:13" x14ac:dyDescent="0.2">
      <c r="A241" s="192"/>
      <c r="B241" s="192" t="s">
        <v>451</v>
      </c>
      <c r="C241" s="192"/>
      <c r="D241" s="192"/>
      <c r="E241" s="192"/>
      <c r="F241" s="192"/>
      <c r="G241" s="294"/>
      <c r="H241" s="235">
        <f ca="1">H238-H239</f>
        <v>0</v>
      </c>
      <c r="I241" s="235">
        <f ca="1">I238-I239</f>
        <v>0</v>
      </c>
      <c r="J241" s="235">
        <f ca="1">J238-J239</f>
        <v>0</v>
      </c>
      <c r="K241" s="235">
        <f ca="1">K238-K239</f>
        <v>0</v>
      </c>
      <c r="L241" s="235">
        <f ca="1">L238-L239</f>
        <v>0</v>
      </c>
      <c r="M241" s="192"/>
    </row>
    <row r="242" spans="1:13" x14ac:dyDescent="0.2">
      <c r="A242" s="192"/>
      <c r="B242" s="192"/>
      <c r="C242" s="192"/>
      <c r="D242" s="192"/>
      <c r="E242" s="192"/>
      <c r="F242" s="192"/>
      <c r="G242" s="294"/>
      <c r="H242" s="192"/>
      <c r="I242" s="192"/>
      <c r="J242" s="192"/>
      <c r="K242" s="192"/>
      <c r="L242" s="192"/>
      <c r="M242" s="192"/>
    </row>
    <row r="243" spans="1:13" x14ac:dyDescent="0.2">
      <c r="A243" s="192"/>
      <c r="B243" s="198" t="s">
        <v>452</v>
      </c>
      <c r="C243" s="192"/>
      <c r="D243" s="192"/>
      <c r="E243" s="192"/>
      <c r="F243" s="192"/>
      <c r="G243" s="294"/>
      <c r="H243" s="192"/>
      <c r="I243" s="192"/>
      <c r="J243" s="192"/>
      <c r="K243" s="192"/>
      <c r="L243" s="192"/>
      <c r="M243" s="192"/>
    </row>
    <row r="244" spans="1:13" x14ac:dyDescent="0.2">
      <c r="A244" s="192"/>
      <c r="B244" s="192" t="s">
        <v>130</v>
      </c>
      <c r="C244" s="192"/>
      <c r="D244" s="192"/>
      <c r="E244" s="192"/>
      <c r="F244" s="192"/>
      <c r="G244" s="294"/>
      <c r="H244" s="224">
        <v>0</v>
      </c>
      <c r="I244" s="232">
        <f ca="1">H247</f>
        <v>0</v>
      </c>
      <c r="J244" s="232">
        <f ca="1">I247</f>
        <v>0</v>
      </c>
      <c r="K244" s="232">
        <f ca="1">J247</f>
        <v>0</v>
      </c>
      <c r="L244" s="232">
        <f ca="1">K247</f>
        <v>0</v>
      </c>
      <c r="M244" s="381"/>
    </row>
    <row r="245" spans="1:13" x14ac:dyDescent="0.2">
      <c r="A245" s="192"/>
      <c r="B245" s="192" t="s">
        <v>97</v>
      </c>
      <c r="C245" s="192"/>
      <c r="D245" s="192"/>
      <c r="E245" s="192"/>
      <c r="F245" s="192"/>
      <c r="G245" s="294"/>
      <c r="H245" s="235">
        <f ca="1">H241</f>
        <v>0</v>
      </c>
      <c r="I245" s="235">
        <f ca="1">I241</f>
        <v>0</v>
      </c>
      <c r="J245" s="235">
        <f ca="1">J241</f>
        <v>0</v>
      </c>
      <c r="K245" s="235">
        <f ca="1">K241</f>
        <v>0</v>
      </c>
      <c r="L245" s="235">
        <f ca="1">L241</f>
        <v>0</v>
      </c>
      <c r="M245" s="235"/>
    </row>
    <row r="246" spans="1:13" x14ac:dyDescent="0.2">
      <c r="A246" s="192"/>
      <c r="B246" s="192" t="s">
        <v>453</v>
      </c>
      <c r="C246" s="192"/>
      <c r="D246" s="192"/>
      <c r="E246" s="192"/>
      <c r="F246" s="192"/>
      <c r="G246" s="294"/>
      <c r="H246" s="235">
        <f ca="1">IF(H241&gt;0,0,-MIN(H244,H237-H238))</f>
        <v>0</v>
      </c>
      <c r="I246" s="235">
        <f ca="1">IF(I241&gt;0,0,-MIN(I244,I237-I238))</f>
        <v>0</v>
      </c>
      <c r="J246" s="235">
        <f ca="1">IF(J241&gt;0,0,-MIN(J244,J237-J238))</f>
        <v>0</v>
      </c>
      <c r="K246" s="235">
        <f ca="1">IF(K241&gt;0,0,-MIN(K244,K237-K238))</f>
        <v>0</v>
      </c>
      <c r="L246" s="235">
        <f ca="1">IF(L241&gt;0,0,-MIN(L244,L237-L238))</f>
        <v>0</v>
      </c>
      <c r="M246" s="235"/>
    </row>
    <row r="247" spans="1:13" x14ac:dyDescent="0.2">
      <c r="A247" s="192"/>
      <c r="B247" s="192" t="s">
        <v>133</v>
      </c>
      <c r="C247" s="192"/>
      <c r="D247" s="192"/>
      <c r="E247" s="192"/>
      <c r="F247" s="192"/>
      <c r="G247" s="294"/>
      <c r="H247" s="283">
        <f ca="1">SUM(H244:H246)</f>
        <v>0</v>
      </c>
      <c r="I247" s="283">
        <f ca="1">SUM(I244:I246)</f>
        <v>0</v>
      </c>
      <c r="J247" s="283">
        <f ca="1">SUM(J244:J246)</f>
        <v>0</v>
      </c>
      <c r="K247" s="283">
        <f ca="1">SUM(K244:K246)</f>
        <v>0</v>
      </c>
      <c r="L247" s="283">
        <f ca="1">SUM(L244:L246)</f>
        <v>0</v>
      </c>
      <c r="M247" s="192"/>
    </row>
    <row r="248" spans="1:13" x14ac:dyDescent="0.2">
      <c r="A248" s="192"/>
      <c r="B248" s="192"/>
      <c r="C248" s="192"/>
      <c r="D248" s="192"/>
      <c r="E248" s="192"/>
      <c r="F248" s="192"/>
      <c r="G248" s="294"/>
      <c r="H248" s="192"/>
      <c r="I248" s="192"/>
      <c r="J248" s="192"/>
      <c r="K248" s="192"/>
      <c r="L248" s="192"/>
      <c r="M248" s="192"/>
    </row>
    <row r="249" spans="1:13" x14ac:dyDescent="0.2">
      <c r="A249" s="192"/>
      <c r="B249" s="192" t="s">
        <v>435</v>
      </c>
      <c r="C249" s="192"/>
      <c r="D249" s="192"/>
      <c r="E249" s="192"/>
      <c r="F249" s="192"/>
      <c r="G249" s="294"/>
      <c r="H249" s="235">
        <f ca="1">SUM(H245:H246)</f>
        <v>0</v>
      </c>
      <c r="I249" s="235">
        <f ca="1">SUM(I245:I246)</f>
        <v>0</v>
      </c>
      <c r="J249" s="235">
        <f ca="1">SUM(J245:J246)</f>
        <v>0</v>
      </c>
      <c r="K249" s="235">
        <f ca="1">SUM(K245:K246)</f>
        <v>0</v>
      </c>
      <c r="L249" s="235">
        <f ca="1">SUM(L245:L246)</f>
        <v>0</v>
      </c>
      <c r="M249" s="192"/>
    </row>
    <row r="250" spans="1:13" x14ac:dyDescent="0.2">
      <c r="A250" s="192"/>
      <c r="B250" s="192"/>
      <c r="C250" s="192"/>
      <c r="D250" s="192"/>
      <c r="E250" s="192"/>
      <c r="F250" s="192"/>
      <c r="G250" s="294"/>
      <c r="H250" s="192"/>
      <c r="I250" s="192"/>
      <c r="J250" s="192"/>
      <c r="K250" s="192"/>
      <c r="L250" s="192"/>
      <c r="M250" s="192"/>
    </row>
    <row r="251" spans="1:13" x14ac:dyDescent="0.2">
      <c r="A251" s="192"/>
      <c r="B251" s="197" t="s">
        <v>454</v>
      </c>
      <c r="C251" s="192"/>
      <c r="D251" s="192"/>
      <c r="E251" s="192"/>
      <c r="F251" s="192"/>
      <c r="G251" s="294"/>
      <c r="H251" s="192"/>
      <c r="I251" s="192"/>
      <c r="J251" s="192"/>
      <c r="K251" s="192"/>
      <c r="L251" s="192"/>
      <c r="M251" s="192"/>
    </row>
    <row r="252" spans="1:13" x14ac:dyDescent="0.2">
      <c r="A252" s="192"/>
      <c r="B252" s="192" t="s">
        <v>455</v>
      </c>
      <c r="C252" s="192"/>
      <c r="D252" s="420" t="s">
        <v>456</v>
      </c>
      <c r="E252" s="560">
        <v>2027</v>
      </c>
      <c r="F252" s="559">
        <v>0.2</v>
      </c>
      <c r="G252" s="422"/>
      <c r="H252" s="553">
        <f>IF(H221&lt;$E$252,100%,MAX(G252-$F$252,0))</f>
        <v>1</v>
      </c>
      <c r="I252" s="553">
        <f>IF(I221&lt;$E$252,100%,MAX(H252-$F$252,0))</f>
        <v>1</v>
      </c>
      <c r="J252" s="553">
        <f>IF(J221&lt;$E$252,100%,MAX(I252-$F$252,0))</f>
        <v>1</v>
      </c>
      <c r="K252" s="553">
        <f>IF(K221&lt;$E$252,100%,MAX(J252-$F$252,0))</f>
        <v>1</v>
      </c>
      <c r="L252" s="553">
        <f>IF(L221&lt;$E$252,100%,MAX(K252-$F$252,0))</f>
        <v>0.8</v>
      </c>
      <c r="M252" s="235"/>
    </row>
    <row r="253" spans="1:13" x14ac:dyDescent="0.2">
      <c r="A253" s="192"/>
      <c r="B253" s="192" t="s">
        <v>457</v>
      </c>
      <c r="C253" s="192"/>
      <c r="D253" s="192"/>
      <c r="E253" s="192"/>
      <c r="F253" s="192"/>
      <c r="G253" s="294"/>
      <c r="H253" s="235">
        <f>-H136</f>
        <v>1961.1502249802497</v>
      </c>
      <c r="I253" s="235">
        <f>-I136</f>
        <v>2565.4417055363419</v>
      </c>
      <c r="J253" s="235">
        <f>-J136</f>
        <v>3355.9342169065585</v>
      </c>
      <c r="K253" s="235">
        <f>-K136</f>
        <v>4390.0020974554527</v>
      </c>
      <c r="L253" s="235">
        <f>-L136</f>
        <v>5742.6985065958725</v>
      </c>
      <c r="M253" s="235"/>
    </row>
    <row r="254" spans="1:13" x14ac:dyDescent="0.2">
      <c r="A254" s="192"/>
      <c r="B254" s="192" t="s">
        <v>436</v>
      </c>
      <c r="C254" s="192"/>
      <c r="D254" s="192"/>
      <c r="E254" s="561">
        <v>1</v>
      </c>
      <c r="F254" s="192"/>
      <c r="G254" s="294"/>
      <c r="H254" s="235">
        <f>IF($E$254=1,H252*H253,0)</f>
        <v>1961.1502249802497</v>
      </c>
      <c r="I254" s="235">
        <f>IF($E$254=1,I252*I253,0)</f>
        <v>2565.4417055363419</v>
      </c>
      <c r="J254" s="235">
        <f>IF($E$254=1,J252*J253,0)</f>
        <v>3355.9342169065585</v>
      </c>
      <c r="K254" s="235">
        <f>IF($E$254=1,K252*K253,0)</f>
        <v>4390.0020974554527</v>
      </c>
      <c r="L254" s="235">
        <f>IF($E$254=1,L252*L253,0)</f>
        <v>4594.1588052766983</v>
      </c>
      <c r="M254" s="381"/>
    </row>
    <row r="255" spans="1:13" x14ac:dyDescent="0.2">
      <c r="A255" s="192"/>
      <c r="B255" s="192"/>
      <c r="C255" s="192"/>
      <c r="D255" s="192"/>
      <c r="E255" s="192"/>
      <c r="F255" s="192"/>
      <c r="G255" s="294"/>
      <c r="H255" s="192"/>
      <c r="I255" s="192"/>
      <c r="J255" s="192"/>
      <c r="K255" s="192"/>
      <c r="L255" s="192"/>
      <c r="M255" s="192"/>
    </row>
    <row r="256" spans="1:13" x14ac:dyDescent="0.2">
      <c r="A256" s="192"/>
      <c r="B256" s="197" t="s">
        <v>458</v>
      </c>
      <c r="C256" s="192"/>
      <c r="D256" s="192"/>
      <c r="E256" s="192"/>
      <c r="F256" s="192"/>
      <c r="G256" s="294"/>
      <c r="H256" s="192"/>
      <c r="I256" s="192"/>
      <c r="J256" s="192"/>
      <c r="K256" s="192"/>
      <c r="L256" s="192"/>
      <c r="M256" s="192"/>
    </row>
    <row r="257" spans="1:13" x14ac:dyDescent="0.2">
      <c r="A257" s="192"/>
      <c r="B257" s="192" t="str">
        <f>G257&amp;" Cohort"</f>
        <v>2023 Cohort</v>
      </c>
      <c r="C257" s="192"/>
      <c r="D257" s="420" t="s">
        <v>459</v>
      </c>
      <c r="E257" s="562">
        <v>8</v>
      </c>
      <c r="F257" s="192"/>
      <c r="G257" s="425">
        <f t="array" ref="G257:G261">TRANSPOSE(H221:L221)</f>
        <v>2023</v>
      </c>
      <c r="H257" s="318">
        <f>H$254/$E$257</f>
        <v>245.14377812253122</v>
      </c>
      <c r="I257" s="318">
        <f>H257</f>
        <v>245.14377812253122</v>
      </c>
      <c r="J257" s="318">
        <f t="shared" ref="J257:L260" si="38">I257</f>
        <v>245.14377812253122</v>
      </c>
      <c r="K257" s="318">
        <f t="shared" si="38"/>
        <v>245.14377812253122</v>
      </c>
      <c r="L257" s="318">
        <f t="shared" si="38"/>
        <v>245.14377812253122</v>
      </c>
      <c r="M257" s="192"/>
    </row>
    <row r="258" spans="1:13" x14ac:dyDescent="0.2">
      <c r="A258" s="192"/>
      <c r="B258" s="192" t="str">
        <f>G258&amp;" Cohort"</f>
        <v>2024 Cohort</v>
      </c>
      <c r="C258" s="192"/>
      <c r="D258" s="192"/>
      <c r="E258" s="192"/>
      <c r="F258" s="192"/>
      <c r="G258" s="425">
        <v>2024</v>
      </c>
      <c r="H258" s="563"/>
      <c r="I258" s="564">
        <f>I$254/$E$257</f>
        <v>320.68021319204274</v>
      </c>
      <c r="J258" s="564">
        <f t="shared" si="38"/>
        <v>320.68021319204274</v>
      </c>
      <c r="K258" s="564">
        <f t="shared" si="38"/>
        <v>320.68021319204274</v>
      </c>
      <c r="L258" s="564">
        <f t="shared" si="38"/>
        <v>320.68021319204274</v>
      </c>
      <c r="M258" s="192"/>
    </row>
    <row r="259" spans="1:13" x14ac:dyDescent="0.2">
      <c r="A259" s="192"/>
      <c r="B259" s="192" t="str">
        <f>G259&amp;" Cohort"</f>
        <v>2025 Cohort</v>
      </c>
      <c r="C259" s="192"/>
      <c r="D259" s="192"/>
      <c r="E259" s="192"/>
      <c r="F259" s="192"/>
      <c r="G259" s="425">
        <v>2025</v>
      </c>
      <c r="H259" s="563"/>
      <c r="I259" s="563"/>
      <c r="J259" s="564">
        <f>J$254/$E$257</f>
        <v>419.49177711331981</v>
      </c>
      <c r="K259" s="564">
        <f t="shared" si="38"/>
        <v>419.49177711331981</v>
      </c>
      <c r="L259" s="564">
        <f t="shared" si="38"/>
        <v>419.49177711331981</v>
      </c>
      <c r="M259" s="380"/>
    </row>
    <row r="260" spans="1:13" x14ac:dyDescent="0.2">
      <c r="A260" s="192"/>
      <c r="B260" s="192" t="str">
        <f>G260&amp;" Cohort"</f>
        <v>2026 Cohort</v>
      </c>
      <c r="C260" s="192"/>
      <c r="D260" s="192"/>
      <c r="E260" s="192"/>
      <c r="F260" s="192"/>
      <c r="G260" s="425">
        <v>2026</v>
      </c>
      <c r="H260" s="563"/>
      <c r="I260" s="563"/>
      <c r="J260" s="563"/>
      <c r="K260" s="564">
        <f>K$254/$E$257</f>
        <v>548.75026218193159</v>
      </c>
      <c r="L260" s="564">
        <f t="shared" si="38"/>
        <v>548.75026218193159</v>
      </c>
      <c r="M260" s="380"/>
    </row>
    <row r="261" spans="1:13" x14ac:dyDescent="0.2">
      <c r="A261" s="199" t="s">
        <v>190</v>
      </c>
      <c r="B261" s="192" t="str">
        <f>G261&amp;" Cohort"</f>
        <v>2027 Cohort</v>
      </c>
      <c r="C261" s="192"/>
      <c r="D261" s="192"/>
      <c r="E261" s="192"/>
      <c r="F261" s="192"/>
      <c r="G261" s="425">
        <v>2027</v>
      </c>
      <c r="H261" s="565"/>
      <c r="I261" s="565"/>
      <c r="J261" s="565"/>
      <c r="K261" s="565"/>
      <c r="L261" s="338">
        <f>L$254/$E$257</f>
        <v>574.26985065958729</v>
      </c>
      <c r="M261" s="192"/>
    </row>
    <row r="262" spans="1:13" x14ac:dyDescent="0.2">
      <c r="A262" s="192"/>
      <c r="B262" s="222" t="s">
        <v>460</v>
      </c>
      <c r="C262" s="192"/>
      <c r="D262" s="192"/>
      <c r="E262" s="192"/>
      <c r="F262" s="192"/>
      <c r="G262" s="294"/>
      <c r="H262" s="555">
        <f>-H257</f>
        <v>-245.14377812253122</v>
      </c>
      <c r="I262" s="338">
        <f>-I258</f>
        <v>-320.68021319204274</v>
      </c>
      <c r="J262" s="338">
        <f>-J259</f>
        <v>-419.49177711331981</v>
      </c>
      <c r="K262" s="338">
        <f>-K260</f>
        <v>-548.75026218193159</v>
      </c>
      <c r="L262" s="338">
        <f>-L261</f>
        <v>-574.26985065958729</v>
      </c>
      <c r="M262" s="192"/>
    </row>
    <row r="263" spans="1:13" x14ac:dyDescent="0.2">
      <c r="A263" s="192"/>
      <c r="B263" s="192" t="s">
        <v>437</v>
      </c>
      <c r="C263" s="192"/>
      <c r="D263" s="192"/>
      <c r="E263" s="192"/>
      <c r="F263" s="192"/>
      <c r="G263" s="294"/>
      <c r="H263" s="555">
        <f>SUM(H257:H262)</f>
        <v>0</v>
      </c>
      <c r="I263" s="338">
        <f>SUM(I257:I262)</f>
        <v>245.14377812253122</v>
      </c>
      <c r="J263" s="338">
        <f>SUM(J257:J262)</f>
        <v>565.82399131457396</v>
      </c>
      <c r="K263" s="338">
        <f>SUM(K257:K262)</f>
        <v>985.31576842789366</v>
      </c>
      <c r="L263" s="338">
        <f>SUM(L257:L262)</f>
        <v>1534.066030609825</v>
      </c>
      <c r="M263" s="192"/>
    </row>
    <row r="264" spans="1:13" x14ac:dyDescent="0.2">
      <c r="A264" s="192"/>
      <c r="B264" s="192"/>
      <c r="C264" s="192"/>
      <c r="D264" s="192"/>
      <c r="E264" s="192"/>
      <c r="F264" s="192"/>
      <c r="G264" s="294"/>
      <c r="H264" s="192"/>
      <c r="I264" s="192"/>
      <c r="J264" s="192"/>
      <c r="K264" s="192"/>
      <c r="L264" s="192"/>
      <c r="M264" s="192"/>
    </row>
    <row r="265" spans="1:13" x14ac:dyDescent="0.2">
      <c r="A265" s="192"/>
      <c r="B265" s="197" t="s">
        <v>461</v>
      </c>
      <c r="C265" s="192"/>
      <c r="D265" s="192"/>
      <c r="E265" s="192"/>
      <c r="F265" s="192"/>
      <c r="G265" s="294"/>
      <c r="H265" s="192"/>
      <c r="I265" s="192"/>
      <c r="J265" s="192"/>
      <c r="K265" s="192"/>
      <c r="L265" s="192"/>
      <c r="M265" s="192"/>
    </row>
    <row r="266" spans="1:13" x14ac:dyDescent="0.2">
      <c r="A266" s="192"/>
      <c r="B266" s="192" t="s">
        <v>130</v>
      </c>
      <c r="C266" s="192"/>
      <c r="D266" s="192"/>
      <c r="E266" s="192"/>
      <c r="F266" s="430"/>
      <c r="G266" s="294"/>
      <c r="H266" s="300">
        <v>844</v>
      </c>
      <c r="I266" s="235">
        <f ca="1">H269</f>
        <v>0</v>
      </c>
      <c r="J266" s="235">
        <f ca="1">I269</f>
        <v>0</v>
      </c>
      <c r="K266" s="235">
        <f ca="1">J269</f>
        <v>0</v>
      </c>
      <c r="L266" s="235">
        <f ca="1">K269</f>
        <v>0</v>
      </c>
      <c r="M266" s="192"/>
    </row>
    <row r="267" spans="1:13" x14ac:dyDescent="0.2">
      <c r="A267" s="192"/>
      <c r="B267" s="192" t="s">
        <v>97</v>
      </c>
      <c r="C267" s="192"/>
      <c r="D267" s="192"/>
      <c r="E267" s="192"/>
      <c r="F267" s="192"/>
      <c r="G267" s="294"/>
      <c r="H267" s="235">
        <f ca="1">-MIN(H226,0)</f>
        <v>0</v>
      </c>
      <c r="I267" s="235">
        <f ca="1">-MIN(I226,0)</f>
        <v>0</v>
      </c>
      <c r="J267" s="235">
        <f ca="1">-MIN(J226,0)</f>
        <v>0</v>
      </c>
      <c r="K267" s="235">
        <f ca="1">-MIN(K226,0)</f>
        <v>0</v>
      </c>
      <c r="L267" s="235">
        <f ca="1">-MIN(L226,0)</f>
        <v>0</v>
      </c>
      <c r="M267" s="192"/>
    </row>
    <row r="268" spans="1:13" x14ac:dyDescent="0.2">
      <c r="A268" s="192"/>
      <c r="B268" s="192" t="s">
        <v>439</v>
      </c>
      <c r="C268" s="192"/>
      <c r="D268" s="420" t="s">
        <v>462</v>
      </c>
      <c r="E268" s="559">
        <v>0.8</v>
      </c>
      <c r="F268" s="192"/>
      <c r="G268" s="294"/>
      <c r="H268" s="235">
        <f ca="1">IF(H226&gt;0,-MIN(H266,MAX(H226*$E$268,0)),0)</f>
        <v>-844</v>
      </c>
      <c r="I268" s="235">
        <f ca="1">IF(I226&gt;0,-MIN(I266,MAX(I226*$E$268,0)),0)</f>
        <v>0</v>
      </c>
      <c r="J268" s="235">
        <f ca="1">IF(J226&gt;0,-MIN(J266,MAX(J226*$E$268,0)),0)</f>
        <v>0</v>
      </c>
      <c r="K268" s="235">
        <f ca="1">IF(K226&gt;0,-MIN(K266,MAX(K226*$E$268,0)),0)</f>
        <v>0</v>
      </c>
      <c r="L268" s="235">
        <f ca="1">IF(L226&gt;0,-MIN(L266,MAX(L226*$E$268,0)),0)</f>
        <v>0</v>
      </c>
      <c r="M268" s="192"/>
    </row>
    <row r="269" spans="1:13" x14ac:dyDescent="0.2">
      <c r="A269" s="228" t="s">
        <v>183</v>
      </c>
      <c r="B269" s="192" t="s">
        <v>133</v>
      </c>
      <c r="C269" s="192"/>
      <c r="D269" s="192"/>
      <c r="E269" s="192"/>
      <c r="F269" s="192"/>
      <c r="G269" s="294"/>
      <c r="H269" s="555">
        <f ca="1">SUM(H266:H268)</f>
        <v>0</v>
      </c>
      <c r="I269" s="338">
        <f ca="1">SUM(I266:I268)</f>
        <v>0</v>
      </c>
      <c r="J269" s="338">
        <f ca="1">SUM(J266:J268)</f>
        <v>0</v>
      </c>
      <c r="K269" s="338">
        <f ca="1">SUM(K266:K268)</f>
        <v>0</v>
      </c>
      <c r="L269" s="338">
        <f ca="1">SUM(L266:L268)</f>
        <v>0</v>
      </c>
      <c r="M269" s="192"/>
    </row>
    <row r="270" spans="1:13" x14ac:dyDescent="0.2">
      <c r="A270" s="192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</row>
    <row r="271" spans="1:13" x14ac:dyDescent="0.2">
      <c r="A271" s="192"/>
      <c r="B271" s="200" t="s">
        <v>463</v>
      </c>
      <c r="C271" s="200"/>
      <c r="D271" s="200"/>
      <c r="E271" s="200"/>
      <c r="F271" s="200"/>
      <c r="G271" s="200"/>
      <c r="H271" s="200"/>
      <c r="I271" s="200"/>
      <c r="J271" s="200"/>
      <c r="K271" s="200"/>
      <c r="L271" s="200"/>
      <c r="M271" s="192"/>
    </row>
    <row r="272" spans="1:13" x14ac:dyDescent="0.2">
      <c r="A272" s="192"/>
      <c r="B272" s="192"/>
      <c r="C272" s="192"/>
      <c r="D272" s="192"/>
      <c r="E272" s="192"/>
      <c r="F272" s="192"/>
      <c r="G272" s="313">
        <f>YEAR(D10)</f>
        <v>2022</v>
      </c>
      <c r="H272" s="279">
        <f>G272+1</f>
        <v>2023</v>
      </c>
      <c r="I272" s="279">
        <f>H272+1</f>
        <v>2024</v>
      </c>
      <c r="J272" s="279">
        <f>I272+1</f>
        <v>2025</v>
      </c>
      <c r="K272" s="279">
        <f>J272+1</f>
        <v>2026</v>
      </c>
      <c r="L272" s="279">
        <f>K272+1</f>
        <v>2027</v>
      </c>
      <c r="M272" s="192"/>
    </row>
    <row r="273" spans="1:13" x14ac:dyDescent="0.2">
      <c r="A273" s="192"/>
      <c r="B273" s="192"/>
      <c r="C273" s="192"/>
      <c r="D273" s="192"/>
      <c r="E273" s="192"/>
      <c r="F273" s="192"/>
      <c r="G273" s="432"/>
      <c r="H273" s="433"/>
      <c r="I273" s="433"/>
      <c r="J273" s="433"/>
      <c r="K273" s="433"/>
      <c r="L273" s="433"/>
      <c r="M273" s="192"/>
    </row>
    <row r="274" spans="1:13" x14ac:dyDescent="0.2">
      <c r="A274" s="192"/>
      <c r="B274" s="192"/>
      <c r="C274" s="192"/>
      <c r="D274" s="192"/>
      <c r="E274" s="192"/>
      <c r="F274" s="192"/>
      <c r="G274" s="321"/>
      <c r="H274" s="260"/>
      <c r="I274" s="260"/>
      <c r="J274" s="260"/>
      <c r="K274" s="260"/>
      <c r="L274" s="260"/>
      <c r="M274" s="192"/>
    </row>
    <row r="275" spans="1:13" x14ac:dyDescent="0.2">
      <c r="A275" s="192"/>
      <c r="B275" s="192" t="s">
        <v>150</v>
      </c>
      <c r="C275" s="192"/>
      <c r="D275" s="192"/>
      <c r="E275" s="192"/>
      <c r="F275" s="192"/>
      <c r="G275" s="321"/>
      <c r="H275" s="260">
        <f>G279</f>
        <v>2507</v>
      </c>
      <c r="I275" s="260">
        <f ca="1">H279</f>
        <v>2345.7473193204792</v>
      </c>
      <c r="J275" s="260">
        <f ca="1">I279</f>
        <v>2345.7473193204792</v>
      </c>
      <c r="K275" s="260">
        <f ca="1">J279</f>
        <v>2345.7473193204792</v>
      </c>
      <c r="L275" s="260">
        <f ca="1">K279</f>
        <v>2345.7473193204792</v>
      </c>
      <c r="M275" s="192"/>
    </row>
    <row r="276" spans="1:13" x14ac:dyDescent="0.2">
      <c r="A276" s="192"/>
      <c r="B276" s="192" t="s">
        <v>151</v>
      </c>
      <c r="C276" s="192"/>
      <c r="D276" s="192"/>
      <c r="E276" s="192"/>
      <c r="F276" s="192"/>
      <c r="G276" s="321"/>
      <c r="H276" s="300">
        <v>0</v>
      </c>
      <c r="I276" s="260">
        <v>0</v>
      </c>
      <c r="J276" s="260">
        <v>0</v>
      </c>
      <c r="K276" s="260">
        <v>0</v>
      </c>
      <c r="L276" s="260">
        <v>0</v>
      </c>
      <c r="M276" s="192"/>
    </row>
    <row r="277" spans="1:13" x14ac:dyDescent="0.2">
      <c r="A277" s="192"/>
      <c r="B277" s="192" t="s">
        <v>152</v>
      </c>
      <c r="C277" s="192"/>
      <c r="D277" s="192"/>
      <c r="E277" s="192"/>
      <c r="F277" s="192"/>
      <c r="G277" s="321"/>
      <c r="H277" s="223">
        <v>0</v>
      </c>
      <c r="I277" s="260">
        <f>H277</f>
        <v>0</v>
      </c>
      <c r="J277" s="260">
        <f>I277</f>
        <v>0</v>
      </c>
      <c r="K277" s="260">
        <f>J277</f>
        <v>0</v>
      </c>
      <c r="L277" s="260">
        <f>K277</f>
        <v>0</v>
      </c>
      <c r="M277" s="192"/>
    </row>
    <row r="278" spans="1:13" x14ac:dyDescent="0.2">
      <c r="A278" s="192"/>
      <c r="B278" s="317" t="s">
        <v>108</v>
      </c>
      <c r="C278" s="317"/>
      <c r="D278" s="317"/>
      <c r="E278" s="317"/>
      <c r="F278" s="317"/>
      <c r="G278" s="323"/>
      <c r="H278" s="322">
        <f ca="1">-H286</f>
        <v>-161.25268067952069</v>
      </c>
      <c r="I278" s="322">
        <f ca="1">-I286</f>
        <v>0</v>
      </c>
      <c r="J278" s="322">
        <f ca="1">-J286</f>
        <v>0</v>
      </c>
      <c r="K278" s="322">
        <f ca="1">-K286</f>
        <v>0</v>
      </c>
      <c r="L278" s="322">
        <f ca="1">-L286</f>
        <v>0</v>
      </c>
      <c r="M278" s="192"/>
    </row>
    <row r="279" spans="1:13" x14ac:dyDescent="0.2">
      <c r="A279" s="192"/>
      <c r="B279" s="192" t="s">
        <v>153</v>
      </c>
      <c r="C279" s="192"/>
      <c r="D279" s="192"/>
      <c r="E279" s="192"/>
      <c r="F279" s="192"/>
      <c r="G279" s="321">
        <f>G281-G280</f>
        <v>2507</v>
      </c>
      <c r="H279" s="260">
        <f ca="1">SUM(H275:H278)</f>
        <v>2345.7473193204792</v>
      </c>
      <c r="I279" s="260">
        <f ca="1">SUM(I275:I278)</f>
        <v>2345.7473193204792</v>
      </c>
      <c r="J279" s="260">
        <f ca="1">SUM(J275:J278)</f>
        <v>2345.7473193204792</v>
      </c>
      <c r="K279" s="260">
        <f ca="1">SUM(K275:K278)</f>
        <v>2345.7473193204792</v>
      </c>
      <c r="L279" s="260">
        <f ca="1">SUM(L275:L278)</f>
        <v>2345.7473193204792</v>
      </c>
      <c r="M279" s="192"/>
    </row>
    <row r="280" spans="1:13" x14ac:dyDescent="0.2">
      <c r="A280" s="192"/>
      <c r="B280" s="317" t="s">
        <v>468</v>
      </c>
      <c r="C280" s="317"/>
      <c r="D280" s="317"/>
      <c r="E280" s="317"/>
      <c r="F280" s="317"/>
      <c r="G280" s="566">
        <v>0</v>
      </c>
      <c r="H280" s="322">
        <f>G280</f>
        <v>0</v>
      </c>
      <c r="I280" s="322">
        <f>H280</f>
        <v>0</v>
      </c>
      <c r="J280" s="322">
        <f>I280</f>
        <v>0</v>
      </c>
      <c r="K280" s="322">
        <f>J280</f>
        <v>0</v>
      </c>
      <c r="L280" s="322">
        <f>K280</f>
        <v>0</v>
      </c>
      <c r="M280" s="192"/>
    </row>
    <row r="281" spans="1:13" x14ac:dyDescent="0.2">
      <c r="A281" s="192"/>
      <c r="B281" s="192" t="s">
        <v>155</v>
      </c>
      <c r="C281" s="192"/>
      <c r="D281" s="192"/>
      <c r="E281" s="192"/>
      <c r="F281" s="192"/>
      <c r="G281" s="321">
        <f>NVDA!E222</f>
        <v>2507</v>
      </c>
      <c r="H281" s="260">
        <f ca="1">H279+H280</f>
        <v>2345.7473193204792</v>
      </c>
      <c r="I281" s="260">
        <f ca="1">I279+I280</f>
        <v>2345.7473193204792</v>
      </c>
      <c r="J281" s="260">
        <f ca="1">J279+J280</f>
        <v>2345.7473193204792</v>
      </c>
      <c r="K281" s="260">
        <f ca="1">K279+K280</f>
        <v>2345.7473193204792</v>
      </c>
      <c r="L281" s="260">
        <f ca="1">L279+L280</f>
        <v>2345.7473193204792</v>
      </c>
      <c r="M281" s="192"/>
    </row>
    <row r="282" spans="1:13" x14ac:dyDescent="0.2">
      <c r="A282" s="192"/>
      <c r="B282" s="192"/>
      <c r="C282" s="192"/>
      <c r="D282" s="192"/>
      <c r="E282" s="192"/>
      <c r="F282" s="192"/>
      <c r="G282" s="321"/>
      <c r="H282" s="260"/>
      <c r="I282" s="260"/>
      <c r="J282" s="260"/>
      <c r="K282" s="260"/>
      <c r="L282" s="260"/>
      <c r="M282" s="192"/>
    </row>
    <row r="283" spans="1:13" x14ac:dyDescent="0.2">
      <c r="A283" s="192"/>
      <c r="B283" s="254" t="s">
        <v>156</v>
      </c>
      <c r="C283" s="192"/>
      <c r="D283" s="192"/>
      <c r="E283" s="192"/>
      <c r="F283" s="192"/>
      <c r="G283" s="321"/>
      <c r="H283" s="260"/>
      <c r="I283" s="260"/>
      <c r="J283" s="260"/>
      <c r="K283" s="260"/>
      <c r="L283" s="260"/>
      <c r="M283" s="192"/>
    </row>
    <row r="284" spans="1:13" x14ac:dyDescent="0.2">
      <c r="A284" s="192"/>
      <c r="B284" s="192" t="s">
        <v>157</v>
      </c>
      <c r="C284" s="192"/>
      <c r="D284" s="192"/>
      <c r="E284" s="192"/>
      <c r="F284" s="192"/>
      <c r="G284" s="321"/>
      <c r="H284" s="220">
        <v>80</v>
      </c>
      <c r="I284" s="218">
        <f>H284</f>
        <v>80</v>
      </c>
      <c r="J284" s="218">
        <f>I284</f>
        <v>80</v>
      </c>
      <c r="K284" s="218">
        <f>J284</f>
        <v>80</v>
      </c>
      <c r="L284" s="218">
        <f>K284</f>
        <v>80</v>
      </c>
      <c r="M284" s="192"/>
    </row>
    <row r="285" spans="1:13" x14ac:dyDescent="0.2">
      <c r="A285" s="192"/>
      <c r="B285" s="317" t="s">
        <v>158</v>
      </c>
      <c r="C285" s="317"/>
      <c r="D285" s="317"/>
      <c r="E285" s="317"/>
      <c r="F285" s="317"/>
      <c r="G285" s="323"/>
      <c r="H285" s="567">
        <f ca="1">H284*H291</f>
        <v>167.24094325302525</v>
      </c>
      <c r="I285" s="567">
        <f ca="1">I284*I291</f>
        <v>220.83864360258457</v>
      </c>
      <c r="J285" s="567">
        <f ca="1">J284*J291</f>
        <v>301.15938763691457</v>
      </c>
      <c r="K285" s="567">
        <f ca="1">K284*K291</f>
        <v>406.41607063714082</v>
      </c>
      <c r="L285" s="567">
        <f ca="1">L284*L291</f>
        <v>533.93219287864201</v>
      </c>
      <c r="M285" s="192"/>
    </row>
    <row r="286" spans="1:13" x14ac:dyDescent="0.2">
      <c r="A286" s="192"/>
      <c r="B286" s="192" t="s">
        <v>159</v>
      </c>
      <c r="C286" s="192"/>
      <c r="D286" s="192"/>
      <c r="E286" s="192"/>
      <c r="F286" s="192"/>
      <c r="G286" s="316"/>
      <c r="H286" s="260">
        <f ca="1">-H142/H285</f>
        <v>161.25268067952072</v>
      </c>
      <c r="I286" s="260">
        <f ca="1">-I142/I285</f>
        <v>0</v>
      </c>
      <c r="J286" s="260">
        <f ca="1">-J142/J285</f>
        <v>0</v>
      </c>
      <c r="K286" s="260">
        <f ca="1">-K142/K285</f>
        <v>0</v>
      </c>
      <c r="L286" s="260">
        <f ca="1">-L142/L285</f>
        <v>0</v>
      </c>
      <c r="M286" s="192"/>
    </row>
    <row r="287" spans="1:13" x14ac:dyDescent="0.2">
      <c r="A287" s="192"/>
      <c r="B287" s="192"/>
      <c r="C287" s="192"/>
      <c r="D287" s="192"/>
      <c r="E287" s="192"/>
      <c r="F287" s="192"/>
      <c r="G287" s="294"/>
      <c r="H287" s="192"/>
      <c r="I287" s="192"/>
      <c r="J287" s="192"/>
      <c r="K287" s="192"/>
      <c r="L287" s="192"/>
      <c r="M287" s="192"/>
    </row>
    <row r="288" spans="1:13" x14ac:dyDescent="0.2">
      <c r="A288" s="192"/>
      <c r="B288" s="254" t="s">
        <v>469</v>
      </c>
      <c r="C288" s="192"/>
      <c r="D288" s="192"/>
      <c r="E288" s="192"/>
      <c r="F288" s="192"/>
      <c r="G288" s="294"/>
      <c r="H288" s="192"/>
      <c r="I288" s="192"/>
      <c r="J288" s="192"/>
      <c r="K288" s="192"/>
      <c r="L288" s="192"/>
      <c r="M288" s="192"/>
    </row>
    <row r="289" spans="1:13" x14ac:dyDescent="0.2">
      <c r="A289" s="192"/>
      <c r="B289" s="192" t="s">
        <v>35</v>
      </c>
      <c r="C289" s="192"/>
      <c r="D289" s="192"/>
      <c r="E289" s="192"/>
      <c r="F289" s="192"/>
      <c r="G289" s="294"/>
      <c r="H289" s="232">
        <f ca="1">H89</f>
        <v>4903.8124289551542</v>
      </c>
      <c r="I289" s="232">
        <f ca="1">I89</f>
        <v>6475.3957029141675</v>
      </c>
      <c r="J289" s="232">
        <f ca="1">J89</f>
        <v>8830.5478279686176</v>
      </c>
      <c r="K289" s="232">
        <f ca="1">K89</f>
        <v>11916.867602822946</v>
      </c>
      <c r="L289" s="232">
        <f ca="1">L89</f>
        <v>15655.875126799743</v>
      </c>
      <c r="M289" s="192"/>
    </row>
    <row r="290" spans="1:13" x14ac:dyDescent="0.2">
      <c r="A290" s="192"/>
      <c r="B290" s="317" t="s">
        <v>155</v>
      </c>
      <c r="C290" s="317"/>
      <c r="D290" s="317"/>
      <c r="E290" s="317"/>
      <c r="F290" s="317"/>
      <c r="G290" s="443"/>
      <c r="H290" s="318">
        <f ca="1">H281</f>
        <v>2345.7473193204792</v>
      </c>
      <c r="I290" s="318">
        <f ca="1">I281</f>
        <v>2345.7473193204792</v>
      </c>
      <c r="J290" s="318">
        <f ca="1">J281</f>
        <v>2345.7473193204792</v>
      </c>
      <c r="K290" s="318">
        <f ca="1">K281</f>
        <v>2345.7473193204792</v>
      </c>
      <c r="L290" s="318">
        <f ca="1">L281</f>
        <v>2345.7473193204792</v>
      </c>
      <c r="M290" s="192"/>
    </row>
    <row r="291" spans="1:13" x14ac:dyDescent="0.2">
      <c r="A291" s="192"/>
      <c r="B291" s="216" t="s">
        <v>160</v>
      </c>
      <c r="C291" s="216"/>
      <c r="D291" s="216"/>
      <c r="E291" s="216"/>
      <c r="F291" s="216"/>
      <c r="G291" s="386"/>
      <c r="H291" s="568">
        <f ca="1">H289/H290</f>
        <v>2.0905117906628155</v>
      </c>
      <c r="I291" s="568">
        <f ca="1">I289/I290</f>
        <v>2.760483045032307</v>
      </c>
      <c r="J291" s="568">
        <f ca="1">J289/J290</f>
        <v>3.7644923454614321</v>
      </c>
      <c r="K291" s="568">
        <f ca="1">K289/K290</f>
        <v>5.0802008829642604</v>
      </c>
      <c r="L291" s="568">
        <f ca="1">L289/L290</f>
        <v>6.6741524109830248</v>
      </c>
      <c r="M291" s="192"/>
    </row>
    <row r="292" spans="1:13" x14ac:dyDescent="0.2">
      <c r="A292" s="192"/>
      <c r="B292" s="192"/>
      <c r="C292" s="192"/>
      <c r="D292" s="192"/>
      <c r="E292" s="192"/>
      <c r="F292" s="192"/>
      <c r="G292" s="294"/>
      <c r="H292" s="192"/>
      <c r="I292" s="192"/>
      <c r="J292" s="192"/>
      <c r="K292" s="192"/>
      <c r="L292" s="192"/>
      <c r="M292" s="192"/>
    </row>
    <row r="293" spans="1:13" x14ac:dyDescent="0.2">
      <c r="A293" s="192"/>
      <c r="B293" s="254" t="s">
        <v>314</v>
      </c>
      <c r="C293" s="192"/>
      <c r="D293" s="192"/>
      <c r="E293" s="192"/>
      <c r="F293" s="192"/>
      <c r="G293" s="286"/>
      <c r="H293" s="235"/>
      <c r="I293" s="235"/>
      <c r="J293" s="235"/>
      <c r="K293" s="235"/>
      <c r="L293" s="235"/>
      <c r="M293" s="192"/>
    </row>
    <row r="294" spans="1:13" x14ac:dyDescent="0.2">
      <c r="A294" s="192"/>
      <c r="B294" s="192" t="s">
        <v>118</v>
      </c>
      <c r="C294" s="192"/>
      <c r="D294" s="192"/>
      <c r="E294" s="192"/>
      <c r="F294" s="192"/>
      <c r="G294" s="316">
        <f>NVDA!E39</f>
        <v>4368</v>
      </c>
      <c r="H294" s="223">
        <f ca="1">NVDA!F39</f>
        <v>7941.2390510462756</v>
      </c>
      <c r="I294" s="223">
        <f ca="1">NVDA!G39</f>
        <v>10477.458327549519</v>
      </c>
      <c r="J294" s="223">
        <f ca="1">NVDA!H39</f>
        <v>13824.853165595321</v>
      </c>
      <c r="K294" s="223">
        <f ca="1">NVDA!I39</f>
        <v>18236.707106834721</v>
      </c>
      <c r="L294" s="223">
        <f ca="1">NVDA!J39</f>
        <v>24041.3282175817</v>
      </c>
      <c r="M294" s="192"/>
    </row>
    <row r="295" spans="1:13" x14ac:dyDescent="0.2">
      <c r="A295" s="192"/>
      <c r="B295" s="192" t="s">
        <v>187</v>
      </c>
      <c r="C295" s="192"/>
      <c r="D295" s="192"/>
      <c r="E295" s="192"/>
      <c r="F295" s="192"/>
      <c r="G295" s="583">
        <f>NVDA!E42</f>
        <v>1.7423214998005585</v>
      </c>
      <c r="H295" s="584">
        <f ca="1">NVDA!F42</f>
        <v>3.1796320658440189</v>
      </c>
      <c r="I295" s="584">
        <f ca="1">NVDA!G42</f>
        <v>4.194976610968955</v>
      </c>
      <c r="J295" s="584">
        <f ca="1">NVDA!H42</f>
        <v>5.5191601405955044</v>
      </c>
      <c r="K295" s="584">
        <f ca="1">NVDA!I42</f>
        <v>7.2438021757852757</v>
      </c>
      <c r="L295" s="584">
        <f ca="1">NVDA!J42</f>
        <v>9.4862594252036629</v>
      </c>
      <c r="M295" s="192"/>
    </row>
    <row r="296" spans="1:13" x14ac:dyDescent="0.2">
      <c r="A296" s="192"/>
      <c r="B296" s="192" t="s">
        <v>315</v>
      </c>
      <c r="C296" s="192"/>
      <c r="D296" s="192"/>
      <c r="E296" s="192"/>
      <c r="F296" s="192"/>
      <c r="G296" s="286">
        <f t="shared" ref="G296:L296" si="39">G294/G295</f>
        <v>2507</v>
      </c>
      <c r="H296" s="235">
        <f t="shared" ca="1" si="39"/>
        <v>2497.5339556900303</v>
      </c>
      <c r="I296" s="235">
        <f t="shared" ca="1" si="39"/>
        <v>2497.620201302967</v>
      </c>
      <c r="J296" s="235">
        <f t="shared" ca="1" si="39"/>
        <v>2504.8834991955227</v>
      </c>
      <c r="K296" s="235">
        <f t="shared" ca="1" si="39"/>
        <v>2517.560069185316</v>
      </c>
      <c r="L296" s="235">
        <f t="shared" ca="1" si="39"/>
        <v>2534.3317254962749</v>
      </c>
      <c r="M296" s="192"/>
    </row>
    <row r="297" spans="1:13" x14ac:dyDescent="0.2">
      <c r="A297" s="192"/>
      <c r="B297" s="192"/>
      <c r="C297" s="192"/>
      <c r="D297" s="192"/>
      <c r="E297" s="192"/>
      <c r="F297" s="192"/>
      <c r="G297" s="286"/>
      <c r="H297" s="235"/>
      <c r="I297" s="235"/>
      <c r="J297" s="235"/>
      <c r="K297" s="235"/>
      <c r="L297" s="235"/>
      <c r="M297" s="192"/>
    </row>
    <row r="298" spans="1:13" x14ac:dyDescent="0.2">
      <c r="A298" s="192"/>
      <c r="B298" s="192" t="s">
        <v>337</v>
      </c>
      <c r="C298" s="192"/>
      <c r="D298" s="192"/>
      <c r="E298" s="192"/>
      <c r="F298" s="192"/>
      <c r="G298" s="286"/>
      <c r="H298" s="430">
        <f ca="1">H291</f>
        <v>2.0905117906628155</v>
      </c>
      <c r="I298" s="430">
        <f ca="1">I291</f>
        <v>2.760483045032307</v>
      </c>
      <c r="J298" s="430">
        <f ca="1">J291</f>
        <v>3.7644923454614321</v>
      </c>
      <c r="K298" s="430">
        <f ca="1">K291</f>
        <v>5.0802008829642604</v>
      </c>
      <c r="L298" s="430">
        <f ca="1">L291</f>
        <v>6.6741524109830248</v>
      </c>
      <c r="M298" s="192"/>
    </row>
    <row r="299" spans="1:13" x14ac:dyDescent="0.2">
      <c r="A299" s="192"/>
      <c r="B299" s="192" t="s">
        <v>338</v>
      </c>
      <c r="C299" s="192"/>
      <c r="D299" s="192"/>
      <c r="E299" s="192"/>
      <c r="F299" s="192"/>
      <c r="G299" s="286"/>
      <c r="H299" s="430">
        <f ca="1">H295</f>
        <v>3.1796320658440189</v>
      </c>
      <c r="I299" s="430">
        <f ca="1">I295</f>
        <v>4.194976610968955</v>
      </c>
      <c r="J299" s="430">
        <f ca="1">J295</f>
        <v>5.5191601405955044</v>
      </c>
      <c r="K299" s="430">
        <f ca="1">K295</f>
        <v>7.2438021757852757</v>
      </c>
      <c r="L299" s="430">
        <f ca="1">L295</f>
        <v>9.4862594252036629</v>
      </c>
      <c r="M299" s="192"/>
    </row>
    <row r="300" spans="1:13" x14ac:dyDescent="0.2">
      <c r="A300" s="192"/>
      <c r="B300" s="216" t="s">
        <v>339</v>
      </c>
      <c r="C300" s="192"/>
      <c r="D300" s="192"/>
      <c r="E300" s="192"/>
      <c r="F300" s="192"/>
      <c r="G300" s="286"/>
      <c r="H300" s="568">
        <f ca="1">H298-H299</f>
        <v>-1.0891202751812035</v>
      </c>
      <c r="I300" s="568">
        <f ca="1">I298-I299</f>
        <v>-1.434493565936648</v>
      </c>
      <c r="J300" s="568">
        <f ca="1">J298-J299</f>
        <v>-1.7546677951340723</v>
      </c>
      <c r="K300" s="568">
        <f ca="1">K298-K299</f>
        <v>-2.1636012928210153</v>
      </c>
      <c r="L300" s="568">
        <f ca="1">L298-L299</f>
        <v>-2.8121070142206381</v>
      </c>
      <c r="M300" s="192"/>
    </row>
    <row r="301" spans="1:13" x14ac:dyDescent="0.2">
      <c r="A301" s="192"/>
      <c r="B301" s="216" t="s">
        <v>340</v>
      </c>
      <c r="C301" s="192"/>
      <c r="D301" s="192"/>
      <c r="E301" s="192"/>
      <c r="F301" s="192"/>
      <c r="G301" s="294"/>
      <c r="H301" s="569">
        <f ca="1">H300/H299</f>
        <v>-0.34253028420510079</v>
      </c>
      <c r="I301" s="569">
        <f ca="1">I300/I299</f>
        <v>-0.34195508079491033</v>
      </c>
      <c r="J301" s="569">
        <f ca="1">J300/J299</f>
        <v>-0.3179229720529087</v>
      </c>
      <c r="K301" s="569">
        <f ca="1">K300/K299</f>
        <v>-0.29868310043771545</v>
      </c>
      <c r="L301" s="569">
        <f ca="1">L300/L299</f>
        <v>-0.29644002848470108</v>
      </c>
      <c r="M301" s="192"/>
    </row>
    <row r="302" spans="1:13" x14ac:dyDescent="0.2">
      <c r="A302" s="228" t="s">
        <v>183</v>
      </c>
      <c r="B302" s="192" t="s">
        <v>341</v>
      </c>
      <c r="C302" s="192"/>
      <c r="D302" s="192"/>
      <c r="E302" s="192"/>
      <c r="F302" s="192"/>
      <c r="G302" s="294"/>
      <c r="H302" s="211">
        <f ca="1">(-H296*H300)/(1-$F$230)</f>
        <v>3777.9373181882302</v>
      </c>
      <c r="I302" s="211">
        <f ca="1">(-I296*I300)/(1-$F$230)</f>
        <v>4976.1390401701419</v>
      </c>
      <c r="J302" s="211">
        <f ca="1">(-J296*J300)/(1-$F$230)</f>
        <v>6104.4977869460117</v>
      </c>
      <c r="K302" s="211">
        <f ca="1">(-K296*K300)/(1-$F$230)</f>
        <v>7565.2725283943255</v>
      </c>
      <c r="L302" s="211">
        <f ca="1">(-L296*L300)/(1-$F$230)</f>
        <v>9898.3500300416217</v>
      </c>
      <c r="M302" s="192"/>
    </row>
    <row r="303" spans="1:13" x14ac:dyDescent="0.2">
      <c r="A303" s="192"/>
      <c r="B303" s="192"/>
      <c r="C303" s="192"/>
      <c r="D303" s="192"/>
      <c r="E303" s="192"/>
      <c r="F303" s="192"/>
      <c r="G303" s="192"/>
      <c r="H303" s="192"/>
      <c r="I303" s="192"/>
      <c r="J303" s="192"/>
      <c r="K303" s="192"/>
      <c r="L303" s="192"/>
      <c r="M303" s="192"/>
    </row>
  </sheetData>
  <conditionalFormatting sqref="G167:L177 E204:L219 H127:L149">
    <cfRule type="cellIs" dxfId="21" priority="22" operator="equal">
      <formula>0</formula>
    </cfRule>
  </conditionalFormatting>
  <conditionalFormatting sqref="H164:L164">
    <cfRule type="cellIs" dxfId="20" priority="21" operator="equal">
      <formula>1</formula>
    </cfRule>
  </conditionalFormatting>
  <conditionalFormatting sqref="H222:L269">
    <cfRule type="cellIs" dxfId="19" priority="20" operator="equal">
      <formula>0</formula>
    </cfRule>
  </conditionalFormatting>
  <conditionalFormatting sqref="G180:L199">
    <cfRule type="cellIs" dxfId="18" priority="19" operator="equal">
      <formula>0</formula>
    </cfRule>
  </conditionalFormatting>
  <conditionalFormatting sqref="H154:L157">
    <cfRule type="cellIs" dxfId="17" priority="18" operator="equal">
      <formula>0</formula>
    </cfRule>
  </conditionalFormatting>
  <conditionalFormatting sqref="H157:L157">
    <cfRule type="cellIs" dxfId="16" priority="17" operator="equal">
      <formula>0</formula>
    </cfRule>
  </conditionalFormatting>
  <conditionalFormatting sqref="E160:L163 E168 E174">
    <cfRule type="cellIs" dxfId="15" priority="16" operator="equal">
      <formula>0</formula>
    </cfRule>
  </conditionalFormatting>
  <conditionalFormatting sqref="E67:L67">
    <cfRule type="cellIs" dxfId="14" priority="5" operator="equal">
      <formula>0</formula>
    </cfRule>
  </conditionalFormatting>
  <conditionalFormatting sqref="E68:L68">
    <cfRule type="cellIs" dxfId="13" priority="4" operator="equal">
      <formula>0</formula>
    </cfRule>
  </conditionalFormatting>
  <conditionalFormatting sqref="E85:L89">
    <cfRule type="cellIs" dxfId="12" priority="15" operator="equal">
      <formula>0</formula>
    </cfRule>
  </conditionalFormatting>
  <conditionalFormatting sqref="E80:G84">
    <cfRule type="cellIs" dxfId="11" priority="14" operator="equal">
      <formula>0</formula>
    </cfRule>
  </conditionalFormatting>
  <conditionalFormatting sqref="E47:L47">
    <cfRule type="cellIs" dxfId="10" priority="13" operator="equal">
      <formula>0</formula>
    </cfRule>
  </conditionalFormatting>
  <conditionalFormatting sqref="E48:L48">
    <cfRule type="cellIs" dxfId="9" priority="12" operator="equal">
      <formula>0</formula>
    </cfRule>
  </conditionalFormatting>
  <conditionalFormatting sqref="E52:L52">
    <cfRule type="cellIs" dxfId="8" priority="11" operator="equal">
      <formula>0</formula>
    </cfRule>
  </conditionalFormatting>
  <conditionalFormatting sqref="E53:L53">
    <cfRule type="cellIs" dxfId="7" priority="10" operator="equal">
      <formula>0</formula>
    </cfRule>
  </conditionalFormatting>
  <conditionalFormatting sqref="E57:L57">
    <cfRule type="cellIs" dxfId="6" priority="9" operator="equal">
      <formula>0</formula>
    </cfRule>
  </conditionalFormatting>
  <conditionalFormatting sqref="E58:L58">
    <cfRule type="cellIs" dxfId="5" priority="8" operator="equal">
      <formula>0</formula>
    </cfRule>
  </conditionalFormatting>
  <conditionalFormatting sqref="E62:L62">
    <cfRule type="cellIs" dxfId="4" priority="7" operator="equal">
      <formula>0</formula>
    </cfRule>
  </conditionalFormatting>
  <conditionalFormatting sqref="E63:L63">
    <cfRule type="cellIs" dxfId="3" priority="6" operator="equal">
      <formula>0</formula>
    </cfRule>
  </conditionalFormatting>
  <conditionalFormatting sqref="E27:G27">
    <cfRule type="cellIs" dxfId="2" priority="3" operator="equal">
      <formula>0</formula>
    </cfRule>
  </conditionalFormatting>
  <conditionalFormatting sqref="E32:G32">
    <cfRule type="cellIs" dxfId="1" priority="2" operator="equal">
      <formula>0</formula>
    </cfRule>
  </conditionalFormatting>
  <conditionalFormatting sqref="E34:G34">
    <cfRule type="cellIs" dxfId="0" priority="1" operator="equal">
      <formula>0</formula>
    </cfRule>
  </conditionalFormatting>
  <dataValidations count="3">
    <dataValidation type="list" allowBlank="1" showInputMessage="1" showErrorMessage="1" sqref="E254" xr:uid="{5D1E345B-01B6-42EA-A370-4A66A5CEECC6}">
      <formula1>"1,0"</formula1>
    </dataValidation>
    <dataValidation type="list" allowBlank="1" showInputMessage="1" showErrorMessage="1" sqref="C12" xr:uid="{CFDAF233-EEB9-4795-A687-CC7B32E3EC2B}">
      <formula1>$D$93:$D$95</formula1>
    </dataValidation>
    <dataValidation type="list" allowBlank="1" showInputMessage="1" showErrorMessage="1" sqref="C18" xr:uid="{DA6DEEBF-2667-4310-81A0-4F7AC1D42143}">
      <formula1>$N$3:$N$4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9" r:id="rId3" name="Button 31">
              <controlPr defaultSize="0" print="0" autoFill="0" autoPict="0" macro="[0]!circularity_break">
                <anchor moveWithCells="1" sizeWithCells="1">
                  <from>
                    <xdr:col>2</xdr:col>
                    <xdr:colOff>1270000</xdr:colOff>
                    <xdr:row>9</xdr:row>
                    <xdr:rowOff>177800</xdr:rowOff>
                  </from>
                  <to>
                    <xdr:col>2</xdr:col>
                    <xdr:colOff>1714500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4" name="Button 33">
              <controlPr defaultSize="0" print="0" autoFill="0" autoPict="0" macro="[0]!circularity_break">
                <anchor moveWithCells="1" sizeWithCells="1">
                  <from>
                    <xdr:col>2</xdr:col>
                    <xdr:colOff>203200</xdr:colOff>
                    <xdr:row>9</xdr:row>
                    <xdr:rowOff>177800</xdr:rowOff>
                  </from>
                  <to>
                    <xdr:col>3</xdr:col>
                    <xdr:colOff>12700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NVDA</vt:lpstr>
      <vt:lpstr>AMD</vt:lpstr>
      <vt:lpstr>Simple Acquire</vt:lpstr>
      <vt:lpstr>Detailed Acquire</vt:lpstr>
      <vt:lpstr>Contribution Analysis</vt:lpstr>
      <vt:lpstr>NVDA Sells</vt:lpstr>
      <vt:lpstr>circ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 Pakel</dc:creator>
  <cp:keywords/>
  <dc:description/>
  <cp:lastModifiedBy>Brando Pakel</cp:lastModifiedBy>
  <cp:revision/>
  <dcterms:created xsi:type="dcterms:W3CDTF">2023-08-31T21:58:44Z</dcterms:created>
  <dcterms:modified xsi:type="dcterms:W3CDTF">2025-05-20T02:41:11Z</dcterms:modified>
  <cp:category/>
  <cp:contentStatus/>
</cp:coreProperties>
</file>