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ef457bb869b141/BP_OD_Financial Models/"/>
    </mc:Choice>
  </mc:AlternateContent>
  <xr:revisionPtr revIDLastSave="0" documentId="8_{E5273610-ED37-4A61-9EC4-11364575253B}" xr6:coauthVersionLast="47" xr6:coauthVersionMax="47" xr10:uidLastSave="{00000000-0000-0000-0000-000000000000}"/>
  <bookViews>
    <workbookView xWindow="-120" yWindow="-120" windowWidth="29040" windowHeight="15840" firstSheet="3" activeTab="3" xr2:uid="{9C7C3873-7FBD-4CB4-B663-6B65C1707C40}"/>
  </bookViews>
  <sheets>
    <sheet name="Summary Output" sheetId="1" r:id="rId1"/>
    <sheet name="Comparables Football Field" sheetId="2" r:id="rId2"/>
    <sheet name="Company Input Tabs --&gt;" sheetId="3" r:id="rId3"/>
    <sheet name="Nvidia Corporation" sheetId="4" r:id="rId4"/>
    <sheet name="Advanced Micro Devices, Inc." sheetId="5" r:id="rId5"/>
    <sheet name="Intel Corporation" sheetId="6" r:id="rId6"/>
    <sheet name="QUALCOMM Incorporated" sheetId="8" r:id="rId7"/>
  </sheets>
  <calcPr calcId="191028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T16" i="4"/>
  <c r="M27" i="2"/>
  <c r="N27" i="2"/>
  <c r="O27" i="2"/>
  <c r="Q27" i="2"/>
  <c r="R27" i="2"/>
  <c r="S27" i="2"/>
  <c r="T27" i="2"/>
  <c r="V27" i="2"/>
  <c r="W27" i="2"/>
  <c r="X27" i="2"/>
  <c r="Y27" i="2"/>
  <c r="L27" i="2"/>
  <c r="M25" i="2"/>
  <c r="N25" i="2"/>
  <c r="O25" i="2"/>
  <c r="Q25" i="2"/>
  <c r="R25" i="2"/>
  <c r="S25" i="2"/>
  <c r="T25" i="2"/>
  <c r="V25" i="2"/>
  <c r="W25" i="2"/>
  <c r="X25" i="2"/>
  <c r="Y25" i="2"/>
  <c r="L25" i="2"/>
  <c r="M20" i="2"/>
  <c r="N20" i="2"/>
  <c r="O20" i="2"/>
  <c r="Q20" i="2"/>
  <c r="R20" i="2"/>
  <c r="S20" i="2"/>
  <c r="T20" i="2"/>
  <c r="V20" i="2"/>
  <c r="W20" i="2"/>
  <c r="X20" i="2"/>
  <c r="Y20" i="2"/>
  <c r="L20" i="2"/>
  <c r="M18" i="2"/>
  <c r="N18" i="2"/>
  <c r="O18" i="2"/>
  <c r="Q18" i="2"/>
  <c r="R18" i="2"/>
  <c r="S18" i="2"/>
  <c r="T18" i="2"/>
  <c r="V18" i="2"/>
  <c r="W18" i="2"/>
  <c r="X18" i="2"/>
  <c r="Y18" i="2"/>
  <c r="L18" i="2"/>
  <c r="N13" i="2"/>
  <c r="O13" i="2"/>
  <c r="Q13" i="2"/>
  <c r="R13" i="2"/>
  <c r="S13" i="2"/>
  <c r="T13" i="2"/>
  <c r="V13" i="2"/>
  <c r="W13" i="2"/>
  <c r="X13" i="2"/>
  <c r="Y13" i="2"/>
  <c r="M13" i="2"/>
  <c r="L13" i="2"/>
  <c r="N11" i="2"/>
  <c r="O11" i="2"/>
  <c r="Q11" i="2"/>
  <c r="R11" i="2"/>
  <c r="S11" i="2"/>
  <c r="T11" i="2"/>
  <c r="V11" i="2"/>
  <c r="W11" i="2"/>
  <c r="X11" i="2"/>
  <c r="Y11" i="2"/>
  <c r="M11" i="2"/>
  <c r="L11" i="2"/>
  <c r="Y7" i="2"/>
  <c r="X7" i="2"/>
  <c r="W7" i="2"/>
  <c r="V7" i="2"/>
  <c r="T7" i="2"/>
  <c r="S7" i="2"/>
  <c r="R7" i="2"/>
  <c r="Q7" i="2"/>
  <c r="T74" i="8"/>
  <c r="T74" i="6"/>
  <c r="T74" i="4"/>
  <c r="T74" i="5"/>
  <c r="R53" i="4"/>
  <c r="B14" i="1" a="1"/>
  <c r="P13" i="1"/>
  <c r="K11" i="1"/>
  <c r="S12" i="1"/>
  <c r="K14" i="1"/>
  <c r="L14" i="1"/>
  <c r="P12" i="1"/>
  <c r="C11" i="1"/>
  <c r="J12" i="1"/>
  <c r="C13" i="1"/>
  <c r="R12" i="1"/>
  <c r="L11" i="1"/>
  <c r="M13" i="1"/>
  <c r="E13" i="1"/>
  <c r="S13" i="1"/>
  <c r="B11" i="1" a="1"/>
  <c r="V13" i="1"/>
  <c r="H11" i="1"/>
  <c r="Q12" i="1"/>
  <c r="Y12" i="1"/>
  <c r="D14" i="1"/>
  <c r="J11" i="1"/>
  <c r="C14" i="1"/>
  <c r="W13" i="1"/>
  <c r="N12" i="1"/>
  <c r="F14" i="1"/>
  <c r="T12" i="1"/>
  <c r="M11" i="1"/>
  <c r="Y14" i="1"/>
  <c r="J13" i="1"/>
  <c r="F11" i="1"/>
  <c r="Q14" i="1"/>
  <c r="O12" i="1"/>
  <c r="B13" i="1" a="1"/>
  <c r="K12" i="1"/>
  <c r="X11" i="1"/>
  <c r="T14" i="1"/>
  <c r="J14" i="1"/>
  <c r="X13" i="1"/>
  <c r="E14" i="1"/>
  <c r="Q13" i="1"/>
  <c r="I12" i="1"/>
  <c r="X14" i="1"/>
  <c r="Y13" i="1"/>
  <c r="M12" i="1"/>
  <c r="K13" i="1"/>
  <c r="W14" i="1"/>
  <c r="T13" i="1"/>
  <c r="N14" i="1"/>
  <c r="F13" i="1"/>
  <c r="I13" i="1"/>
  <c r="V12" i="1"/>
  <c r="U12" i="1"/>
  <c r="H14" i="1"/>
  <c r="O13" i="1"/>
  <c r="P11" i="1"/>
  <c r="D11" i="1"/>
  <c r="R11" i="1"/>
  <c r="I11" i="1"/>
  <c r="W12" i="1"/>
  <c r="W11" i="1"/>
  <c r="I14" i="1"/>
  <c r="L12" i="1"/>
  <c r="H12" i="1"/>
  <c r="U13" i="1"/>
  <c r="U11" i="1"/>
  <c r="R13" i="1"/>
  <c r="X12" i="1"/>
  <c r="H13" i="1"/>
  <c r="F12" i="1"/>
  <c r="V14" i="1"/>
  <c r="M14" i="1"/>
  <c r="U14" i="1"/>
  <c r="R14" i="1"/>
  <c r="C12" i="1"/>
  <c r="T11" i="1"/>
  <c r="D13" i="1"/>
  <c r="E12" i="1"/>
  <c r="L13" i="1"/>
  <c r="O11" i="1"/>
  <c r="Y11" i="1"/>
  <c r="E11" i="1"/>
  <c r="N13" i="1"/>
  <c r="Q11" i="1"/>
  <c r="N11" i="1"/>
  <c r="S11" i="1"/>
  <c r="S14" i="1"/>
  <c r="P14" i="1"/>
  <c r="V11" i="1"/>
  <c r="O14" i="1"/>
  <c r="B12" i="1" a="1"/>
  <c r="D12" i="1"/>
  <c r="C30" i="1" l="1"/>
  <c r="C29" i="1"/>
  <c r="C28" i="1"/>
  <c r="C27" i="1"/>
  <c r="B13" i="1"/>
  <c r="B29" i="1" s="1"/>
  <c r="B14" i="1"/>
  <c r="B30" i="1" s="1"/>
  <c r="B12" i="1"/>
  <c r="B28" i="1" s="1"/>
  <c r="B11" i="1"/>
  <c r="B27" i="1" s="1"/>
  <c r="T75" i="8" l="1"/>
  <c r="T73" i="8"/>
  <c r="T70" i="8"/>
  <c r="T68" i="8"/>
  <c r="T69" i="8"/>
  <c r="T67" i="8"/>
  <c r="E53" i="8"/>
  <c r="E47" i="8"/>
  <c r="E41" i="8"/>
  <c r="E52" i="8"/>
  <c r="E46" i="8"/>
  <c r="E40" i="8"/>
  <c r="E51" i="8"/>
  <c r="E45" i="8"/>
  <c r="E39" i="8"/>
  <c r="E53" i="6"/>
  <c r="E47" i="6"/>
  <c r="E41" i="6"/>
  <c r="E52" i="6"/>
  <c r="E46" i="6"/>
  <c r="E40" i="6"/>
  <c r="E51" i="6"/>
  <c r="E45" i="6"/>
  <c r="E39" i="6"/>
  <c r="E53" i="5"/>
  <c r="E47" i="5"/>
  <c r="E41" i="5"/>
  <c r="E52" i="5"/>
  <c r="E46" i="5"/>
  <c r="E40" i="5"/>
  <c r="E51" i="5"/>
  <c r="E45" i="5"/>
  <c r="E39" i="5"/>
  <c r="E53" i="4"/>
  <c r="E47" i="4"/>
  <c r="E41" i="4"/>
  <c r="E52" i="4"/>
  <c r="E46" i="4"/>
  <c r="E40" i="4"/>
  <c r="AA11" i="8"/>
  <c r="AB11" i="8"/>
  <c r="Z11" i="8"/>
  <c r="AA12" i="8"/>
  <c r="AB12" i="8"/>
  <c r="Z12" i="8"/>
  <c r="AA10" i="8"/>
  <c r="AB10" i="8"/>
  <c r="Z10" i="8"/>
  <c r="AA8" i="8"/>
  <c r="AB8" i="8"/>
  <c r="Z8" i="8"/>
  <c r="AA7" i="8"/>
  <c r="AB7" i="8"/>
  <c r="Z7" i="8"/>
  <c r="AA12" i="4"/>
  <c r="AB12" i="4"/>
  <c r="Z12" i="4"/>
  <c r="AA13" i="4"/>
  <c r="AB13" i="4"/>
  <c r="Z13" i="4"/>
  <c r="AA11" i="4"/>
  <c r="AB11" i="4"/>
  <c r="Z11" i="4"/>
  <c r="AA9" i="4"/>
  <c r="AB9" i="4"/>
  <c r="Z9" i="4"/>
  <c r="AA8" i="4"/>
  <c r="AB8" i="4"/>
  <c r="Z8" i="4"/>
  <c r="AB7" i="4"/>
  <c r="AA7" i="4"/>
  <c r="Z7" i="4"/>
  <c r="AC16" i="4"/>
  <c r="AB15" i="8"/>
  <c r="AC17" i="4"/>
  <c r="AC18" i="4"/>
  <c r="AC19" i="4"/>
  <c r="AA19" i="4"/>
  <c r="AB19" i="4"/>
  <c r="Z19" i="4"/>
  <c r="AA18" i="4"/>
  <c r="AB18" i="4"/>
  <c r="Z18" i="4"/>
  <c r="AA17" i="4"/>
  <c r="AB17" i="4"/>
  <c r="Z17" i="4"/>
  <c r="AB16" i="4"/>
  <c r="AA16" i="4"/>
  <c r="Y12" i="4"/>
  <c r="Y13" i="4"/>
  <c r="Y11" i="4"/>
  <c r="Y9" i="4"/>
  <c r="Y8" i="4"/>
  <c r="Y7" i="4"/>
  <c r="AA6" i="8"/>
  <c r="AB6" i="8" s="1"/>
  <c r="Z6" i="8"/>
  <c r="Z18" i="8"/>
  <c r="AA18" i="8"/>
  <c r="Y18" i="8"/>
  <c r="Z18" i="6"/>
  <c r="AA18" i="6"/>
  <c r="Y18" i="6"/>
  <c r="Y18" i="5"/>
  <c r="Z18" i="5"/>
  <c r="AA18" i="5" s="1"/>
  <c r="X18" i="5"/>
  <c r="Z17" i="8"/>
  <c r="AA17" i="8"/>
  <c r="AB17" i="8" s="1"/>
  <c r="Y17" i="8"/>
  <c r="AB16" i="8"/>
  <c r="AB18" i="8"/>
  <c r="Z16" i="8"/>
  <c r="AA16" i="8"/>
  <c r="Y16" i="8"/>
  <c r="AA15" i="8"/>
  <c r="Z15" i="8"/>
  <c r="Y11" i="8"/>
  <c r="Y12" i="8"/>
  <c r="Y11" i="6"/>
  <c r="Y12" i="6"/>
  <c r="Z12" i="6"/>
  <c r="AA11" i="6"/>
  <c r="AB11" i="6"/>
  <c r="Z11" i="6"/>
  <c r="AA12" i="6"/>
  <c r="AB12" i="6"/>
  <c r="Y10" i="8"/>
  <c r="Y8" i="8"/>
  <c r="Y7" i="8"/>
  <c r="Y6" i="8"/>
  <c r="AA10" i="6"/>
  <c r="AB10" i="6"/>
  <c r="Z10" i="6"/>
  <c r="Y8" i="6"/>
  <c r="AA8" i="6"/>
  <c r="AB8" i="6"/>
  <c r="Z8" i="6"/>
  <c r="AA7" i="6"/>
  <c r="AB7" i="6"/>
  <c r="Z7" i="6"/>
  <c r="Z6" i="6"/>
  <c r="AB6" i="6"/>
  <c r="AA6" i="6"/>
  <c r="Y16" i="6"/>
  <c r="Z17" i="6"/>
  <c r="AA17" i="6"/>
  <c r="Y17" i="6"/>
  <c r="AB16" i="6"/>
  <c r="Z16" i="6"/>
  <c r="AA16" i="6"/>
  <c r="AB15" i="6"/>
  <c r="AA15" i="6"/>
  <c r="Z15" i="6"/>
  <c r="AB18" i="6"/>
  <c r="AB17" i="6"/>
  <c r="X16" i="5"/>
  <c r="Y10" i="6"/>
  <c r="Y7" i="6"/>
  <c r="Y6" i="6"/>
  <c r="Y10" i="5"/>
  <c r="AA16" i="5"/>
  <c r="Y16" i="5"/>
  <c r="Z16" i="5"/>
  <c r="X8" i="5"/>
  <c r="X12" i="5" s="1"/>
  <c r="X11" i="5" s="1"/>
  <c r="Z6" i="5"/>
  <c r="Z10" i="5" s="1"/>
  <c r="Y6" i="5"/>
  <c r="AA17" i="5"/>
  <c r="AA15" i="5"/>
  <c r="Y17" i="5"/>
  <c r="Z17" i="5"/>
  <c r="X17" i="5"/>
  <c r="Y15" i="5"/>
  <c r="Z15" i="5"/>
  <c r="X10" i="5"/>
  <c r="X7" i="5"/>
  <c r="X6" i="5"/>
  <c r="AA6" i="5" l="1"/>
  <c r="Z7" i="5"/>
  <c r="Z8" i="5" s="1"/>
  <c r="Z12" i="5" s="1"/>
  <c r="Z11" i="5" s="1"/>
  <c r="Y7" i="5"/>
  <c r="Y8" i="5" s="1"/>
  <c r="Y12" i="5" s="1"/>
  <c r="Y11" i="5" s="1"/>
  <c r="AA7" i="5" l="1"/>
  <c r="AA10" i="5"/>
  <c r="AA8" i="5"/>
  <c r="AA12" i="5" s="1"/>
  <c r="AA11" i="5" s="1"/>
  <c r="T48" i="8" l="1"/>
  <c r="R49" i="8"/>
  <c r="D69" i="8"/>
  <c r="S49" i="8" s="1"/>
  <c r="E69" i="8"/>
  <c r="K57" i="5"/>
  <c r="E58" i="8"/>
  <c r="E56" i="8"/>
  <c r="E59" i="8" s="1"/>
  <c r="E60" i="8" s="1"/>
  <c r="E58" i="4"/>
  <c r="E58" i="5"/>
  <c r="D68" i="5"/>
  <c r="E57" i="5" s="1"/>
  <c r="E57" i="4"/>
  <c r="L70" i="6"/>
  <c r="M70" i="6"/>
  <c r="I70" i="6"/>
  <c r="J70" i="6"/>
  <c r="K70" i="6"/>
  <c r="L7" i="5"/>
  <c r="K75" i="4"/>
  <c r="L11" i="8"/>
  <c r="M11" i="8"/>
  <c r="L7" i="8"/>
  <c r="I11" i="8"/>
  <c r="J11" i="8"/>
  <c r="K11" i="8"/>
  <c r="L7" i="6"/>
  <c r="L11" i="6"/>
  <c r="M11" i="6"/>
  <c r="I11" i="6"/>
  <c r="J11" i="6"/>
  <c r="K11" i="6"/>
  <c r="I11" i="5"/>
  <c r="J11" i="5"/>
  <c r="K11" i="5"/>
  <c r="L11" i="5"/>
  <c r="M11" i="5"/>
  <c r="M14" i="4"/>
  <c r="L14" i="4"/>
  <c r="L11" i="4"/>
  <c r="M11" i="4"/>
  <c r="L7" i="4"/>
  <c r="K31" i="4"/>
  <c r="K22" i="4"/>
  <c r="K20" i="4"/>
  <c r="I14" i="4"/>
  <c r="J14" i="4"/>
  <c r="K14" i="4"/>
  <c r="K13" i="4"/>
  <c r="I11" i="4"/>
  <c r="J11" i="4"/>
  <c r="K11" i="4"/>
  <c r="D27" i="8"/>
  <c r="E27" i="8"/>
  <c r="D22" i="8"/>
  <c r="D21" i="8"/>
  <c r="E22" i="8"/>
  <c r="E21" i="8"/>
  <c r="D17" i="8"/>
  <c r="E17" i="8"/>
  <c r="D22" i="6"/>
  <c r="D21" i="6"/>
  <c r="E22" i="6"/>
  <c r="E21" i="6"/>
  <c r="D17" i="6"/>
  <c r="E17" i="6"/>
  <c r="E27" i="5"/>
  <c r="E22" i="5"/>
  <c r="E21" i="5"/>
  <c r="E17" i="5"/>
  <c r="D27" i="5"/>
  <c r="D22" i="5"/>
  <c r="D21" i="5"/>
  <c r="D17" i="5"/>
  <c r="T13" i="4"/>
  <c r="D27" i="4"/>
  <c r="E27" i="4"/>
  <c r="D22" i="4"/>
  <c r="D21" i="4"/>
  <c r="E22" i="4"/>
  <c r="E21" i="4"/>
  <c r="T26" i="6"/>
  <c r="T26" i="5"/>
  <c r="T6" i="4"/>
  <c r="M75" i="8"/>
  <c r="L75" i="8"/>
  <c r="K75" i="8"/>
  <c r="J75" i="8"/>
  <c r="I75" i="8"/>
  <c r="N74" i="8"/>
  <c r="N73" i="8"/>
  <c r="N72" i="8"/>
  <c r="N37" i="8" s="1"/>
  <c r="M71" i="8"/>
  <c r="L71" i="8"/>
  <c r="K71" i="8"/>
  <c r="J71" i="8"/>
  <c r="I71" i="8"/>
  <c r="N70" i="8"/>
  <c r="I68" i="8"/>
  <c r="D68" i="8"/>
  <c r="E68" i="8" s="1"/>
  <c r="N56" i="8"/>
  <c r="N55" i="8"/>
  <c r="S48" i="8"/>
  <c r="M48" i="8"/>
  <c r="L48" i="8"/>
  <c r="K48" i="8"/>
  <c r="J48" i="8"/>
  <c r="I48" i="8"/>
  <c r="R47" i="8"/>
  <c r="T43" i="8"/>
  <c r="S43" i="8"/>
  <c r="N43" i="8"/>
  <c r="N50" i="8" s="1"/>
  <c r="T42" i="8"/>
  <c r="S42" i="8"/>
  <c r="M42" i="8"/>
  <c r="L42" i="8"/>
  <c r="K42" i="8"/>
  <c r="J42" i="8"/>
  <c r="I42" i="8"/>
  <c r="T41" i="8"/>
  <c r="S41" i="8"/>
  <c r="N38" i="8"/>
  <c r="E38" i="8"/>
  <c r="E57" i="8" s="1"/>
  <c r="Q37" i="8"/>
  <c r="M37" i="8"/>
  <c r="M49" i="8" s="1"/>
  <c r="L37" i="8"/>
  <c r="L49" i="8" s="1"/>
  <c r="K37" i="8"/>
  <c r="K49" i="8" s="1"/>
  <c r="J37" i="8"/>
  <c r="J49" i="8" s="1"/>
  <c r="J51" i="8" s="1"/>
  <c r="I37" i="8"/>
  <c r="I49" i="8" s="1"/>
  <c r="T36" i="8"/>
  <c r="S36" i="8"/>
  <c r="N36" i="8"/>
  <c r="S35" i="8"/>
  <c r="T35" i="8" s="1"/>
  <c r="N35" i="8"/>
  <c r="S34" i="8"/>
  <c r="T34" i="8" s="1"/>
  <c r="S33" i="8"/>
  <c r="T33" i="8" s="1"/>
  <c r="S32" i="8"/>
  <c r="N29" i="8"/>
  <c r="N34" i="8" s="1"/>
  <c r="E28" i="8"/>
  <c r="E33" i="8" s="1"/>
  <c r="D28" i="8"/>
  <c r="D33" i="8" s="1"/>
  <c r="M27" i="8"/>
  <c r="M69" i="8" s="1"/>
  <c r="I26" i="8"/>
  <c r="N21" i="8"/>
  <c r="N18" i="8"/>
  <c r="E18" i="8"/>
  <c r="E23" i="8" s="1"/>
  <c r="D18" i="8"/>
  <c r="D23" i="8" s="1"/>
  <c r="N17" i="8"/>
  <c r="T16" i="8"/>
  <c r="N16" i="8"/>
  <c r="T15" i="8"/>
  <c r="T14" i="8"/>
  <c r="N14" i="8"/>
  <c r="T13" i="8"/>
  <c r="N13" i="8"/>
  <c r="N11" i="8"/>
  <c r="M10" i="8"/>
  <c r="M28" i="8" s="1"/>
  <c r="M30" i="8" s="1"/>
  <c r="M31" i="8" s="1"/>
  <c r="L10" i="8"/>
  <c r="L28" i="8" s="1"/>
  <c r="L30" i="8" s="1"/>
  <c r="L31" i="8" s="1"/>
  <c r="K10" i="8"/>
  <c r="K12" i="8" s="1"/>
  <c r="J10" i="8"/>
  <c r="J28" i="8" s="1"/>
  <c r="J30" i="8" s="1"/>
  <c r="J31" i="8" s="1"/>
  <c r="I10" i="8"/>
  <c r="I28" i="8" s="1"/>
  <c r="I30" i="8" s="1"/>
  <c r="I31" i="8" s="1"/>
  <c r="N9" i="8"/>
  <c r="N8" i="8"/>
  <c r="N7" i="8"/>
  <c r="E13" i="8" s="1"/>
  <c r="L27" i="8"/>
  <c r="L69" i="8" s="1"/>
  <c r="K7" i="8"/>
  <c r="K27" i="8" s="1"/>
  <c r="K69" i="8" s="1"/>
  <c r="J7" i="8"/>
  <c r="J27" i="8" s="1"/>
  <c r="J69" i="8" s="1"/>
  <c r="T6" i="8"/>
  <c r="I6" i="8"/>
  <c r="A2" i="8"/>
  <c r="A1" i="8"/>
  <c r="M75" i="6"/>
  <c r="L75" i="6"/>
  <c r="K75" i="6"/>
  <c r="J75" i="6"/>
  <c r="I75" i="6"/>
  <c r="N74" i="6"/>
  <c r="N73" i="6"/>
  <c r="N72" i="6"/>
  <c r="N37" i="6" s="1"/>
  <c r="M71" i="6"/>
  <c r="L71" i="6"/>
  <c r="K71" i="6"/>
  <c r="J71" i="6"/>
  <c r="I71" i="6"/>
  <c r="T70" i="6"/>
  <c r="N70" i="6"/>
  <c r="N42" i="6" s="1"/>
  <c r="I68" i="6"/>
  <c r="D68" i="6"/>
  <c r="S48" i="6" s="1"/>
  <c r="E62" i="6"/>
  <c r="D62" i="6" s="1"/>
  <c r="C62" i="6" s="1"/>
  <c r="N56" i="6"/>
  <c r="N55" i="6"/>
  <c r="T48" i="6"/>
  <c r="M48" i="6"/>
  <c r="L48" i="6"/>
  <c r="K48" i="6"/>
  <c r="J48" i="6"/>
  <c r="I48" i="6"/>
  <c r="R47" i="6"/>
  <c r="T43" i="6"/>
  <c r="S43" i="6"/>
  <c r="N43" i="6"/>
  <c r="N50" i="6" s="1"/>
  <c r="T42" i="6"/>
  <c r="S42" i="6"/>
  <c r="M42" i="6"/>
  <c r="L42" i="6"/>
  <c r="K42" i="6"/>
  <c r="J42" i="6"/>
  <c r="I42" i="6"/>
  <c r="T41" i="6"/>
  <c r="S41" i="6"/>
  <c r="N38" i="6"/>
  <c r="E38" i="6"/>
  <c r="Q37" i="6"/>
  <c r="M37" i="6"/>
  <c r="M49" i="6" s="1"/>
  <c r="L37" i="6"/>
  <c r="L49" i="6" s="1"/>
  <c r="K37" i="6"/>
  <c r="K49" i="6" s="1"/>
  <c r="J37" i="6"/>
  <c r="J49" i="6" s="1"/>
  <c r="I37" i="6"/>
  <c r="I49" i="6" s="1"/>
  <c r="S36" i="6"/>
  <c r="T36" i="6" s="1"/>
  <c r="N36" i="6"/>
  <c r="S35" i="6"/>
  <c r="T35" i="6" s="1"/>
  <c r="N35" i="6"/>
  <c r="S34" i="6"/>
  <c r="T34" i="6" s="1"/>
  <c r="S33" i="6"/>
  <c r="T33" i="6" s="1"/>
  <c r="S32" i="6"/>
  <c r="N29" i="6"/>
  <c r="N48" i="6" s="1"/>
  <c r="E28" i="6"/>
  <c r="E33" i="6" s="1"/>
  <c r="D28" i="6"/>
  <c r="D33" i="6" s="1"/>
  <c r="M27" i="6"/>
  <c r="M69" i="6" s="1"/>
  <c r="I26" i="6"/>
  <c r="N21" i="6"/>
  <c r="N18" i="6"/>
  <c r="E18" i="6"/>
  <c r="E23" i="6" s="1"/>
  <c r="D18" i="6"/>
  <c r="D23" i="6" s="1"/>
  <c r="N17" i="6"/>
  <c r="T16" i="6"/>
  <c r="N16" i="6"/>
  <c r="T15" i="6"/>
  <c r="T14" i="6"/>
  <c r="N14" i="6"/>
  <c r="T13" i="6"/>
  <c r="N13" i="6"/>
  <c r="N11" i="6"/>
  <c r="M10" i="6"/>
  <c r="M28" i="6" s="1"/>
  <c r="M30" i="6" s="1"/>
  <c r="M31" i="6" s="1"/>
  <c r="L10" i="6"/>
  <c r="L28" i="6" s="1"/>
  <c r="L30" i="6" s="1"/>
  <c r="L31" i="6" s="1"/>
  <c r="K10" i="6"/>
  <c r="K28" i="6" s="1"/>
  <c r="K30" i="6" s="1"/>
  <c r="K31" i="6" s="1"/>
  <c r="J10" i="6"/>
  <c r="I10" i="6"/>
  <c r="I12" i="6" s="1"/>
  <c r="N9" i="6"/>
  <c r="N8" i="6"/>
  <c r="N7" i="6"/>
  <c r="L27" i="6"/>
  <c r="L69" i="6" s="1"/>
  <c r="K7" i="6"/>
  <c r="K27" i="6" s="1"/>
  <c r="K69" i="6" s="1"/>
  <c r="J7" i="6"/>
  <c r="J27" i="6" s="1"/>
  <c r="J69" i="6" s="1"/>
  <c r="T6" i="6"/>
  <c r="I6" i="6"/>
  <c r="A2" i="6"/>
  <c r="A1" i="6"/>
  <c r="M75" i="5"/>
  <c r="L75" i="5"/>
  <c r="K75" i="5"/>
  <c r="J75" i="5"/>
  <c r="I75" i="5"/>
  <c r="N74" i="5"/>
  <c r="N73" i="5"/>
  <c r="N72" i="5"/>
  <c r="N37" i="5" s="1"/>
  <c r="M71" i="5"/>
  <c r="L71" i="5"/>
  <c r="K71" i="5"/>
  <c r="J71" i="5"/>
  <c r="I71" i="5"/>
  <c r="T70" i="5"/>
  <c r="N70" i="5"/>
  <c r="I68" i="5"/>
  <c r="E68" i="5"/>
  <c r="N56" i="5"/>
  <c r="N55" i="5"/>
  <c r="L49" i="5"/>
  <c r="M48" i="5"/>
  <c r="L48" i="5"/>
  <c r="K48" i="5"/>
  <c r="J48" i="5"/>
  <c r="I48" i="5"/>
  <c r="R47" i="5"/>
  <c r="T43" i="5"/>
  <c r="S43" i="5"/>
  <c r="N43" i="5"/>
  <c r="N50" i="5" s="1"/>
  <c r="T42" i="5"/>
  <c r="S42" i="5"/>
  <c r="M42" i="5"/>
  <c r="L42" i="5"/>
  <c r="K42" i="5"/>
  <c r="J42" i="5"/>
  <c r="I42" i="5"/>
  <c r="T41" i="5"/>
  <c r="S41" i="5"/>
  <c r="N38" i="5"/>
  <c r="E38" i="5"/>
  <c r="Q37" i="5"/>
  <c r="M37" i="5"/>
  <c r="M49" i="5" s="1"/>
  <c r="L37" i="5"/>
  <c r="K37" i="5"/>
  <c r="K49" i="5" s="1"/>
  <c r="J37" i="5"/>
  <c r="J49" i="5" s="1"/>
  <c r="J51" i="5" s="1"/>
  <c r="I37" i="5"/>
  <c r="I49" i="5" s="1"/>
  <c r="S36" i="5"/>
  <c r="T36" i="5" s="1"/>
  <c r="N36" i="5"/>
  <c r="S35" i="5"/>
  <c r="T35" i="5" s="1"/>
  <c r="N35" i="5"/>
  <c r="S34" i="5"/>
  <c r="T34" i="5" s="1"/>
  <c r="S33" i="5"/>
  <c r="T33" i="5" s="1"/>
  <c r="S32" i="5"/>
  <c r="N29" i="5"/>
  <c r="N34" i="5" s="1"/>
  <c r="E28" i="5"/>
  <c r="E33" i="5" s="1"/>
  <c r="D28" i="5"/>
  <c r="D33" i="5" s="1"/>
  <c r="M27" i="5"/>
  <c r="M69" i="5" s="1"/>
  <c r="I26" i="5"/>
  <c r="N21" i="5"/>
  <c r="N18" i="5"/>
  <c r="E18" i="5"/>
  <c r="E23" i="5" s="1"/>
  <c r="D18" i="5"/>
  <c r="D23" i="5" s="1"/>
  <c r="N17" i="5"/>
  <c r="T16" i="5"/>
  <c r="N16" i="5"/>
  <c r="T15" i="5"/>
  <c r="T14" i="5"/>
  <c r="N14" i="5"/>
  <c r="T13" i="5"/>
  <c r="N13" i="5"/>
  <c r="N11" i="5"/>
  <c r="M10" i="5"/>
  <c r="M28" i="5" s="1"/>
  <c r="M30" i="5" s="1"/>
  <c r="M31" i="5" s="1"/>
  <c r="L10" i="5"/>
  <c r="L12" i="5" s="1"/>
  <c r="L33" i="5" s="1"/>
  <c r="L39" i="5" s="1"/>
  <c r="K10" i="5"/>
  <c r="K28" i="5" s="1"/>
  <c r="K30" i="5" s="1"/>
  <c r="K31" i="5" s="1"/>
  <c r="J10" i="5"/>
  <c r="I10" i="5"/>
  <c r="I28" i="5" s="1"/>
  <c r="I30" i="5" s="1"/>
  <c r="I31" i="5" s="1"/>
  <c r="N9" i="5"/>
  <c r="N8" i="5"/>
  <c r="N7" i="5"/>
  <c r="E13" i="5" s="1"/>
  <c r="L27" i="5"/>
  <c r="L69" i="5" s="1"/>
  <c r="K7" i="5"/>
  <c r="K27" i="5" s="1"/>
  <c r="K69" i="5" s="1"/>
  <c r="J7" i="5"/>
  <c r="J27" i="5" s="1"/>
  <c r="J69" i="5" s="1"/>
  <c r="T6" i="5"/>
  <c r="I6" i="5"/>
  <c r="A2" i="5"/>
  <c r="A1" i="5"/>
  <c r="N10" i="8" l="1"/>
  <c r="N28" i="8" s="1"/>
  <c r="N30" i="8" s="1"/>
  <c r="N31" i="8" s="1"/>
  <c r="N10" i="6"/>
  <c r="N10" i="5"/>
  <c r="L28" i="5"/>
  <c r="L30" i="5" s="1"/>
  <c r="L31" i="5" s="1"/>
  <c r="E35" i="6"/>
  <c r="S37" i="8"/>
  <c r="T22" i="8" s="1"/>
  <c r="T44" i="5"/>
  <c r="T25" i="5" s="1"/>
  <c r="N71" i="5"/>
  <c r="L12" i="6"/>
  <c r="L33" i="6" s="1"/>
  <c r="L39" i="6" s="1"/>
  <c r="L44" i="6" s="1"/>
  <c r="L45" i="6" s="1"/>
  <c r="T44" i="6"/>
  <c r="T25" i="6" s="1"/>
  <c r="M12" i="8"/>
  <c r="M33" i="8" s="1"/>
  <c r="M39" i="8" s="1"/>
  <c r="M44" i="8" s="1"/>
  <c r="M45" i="8" s="1"/>
  <c r="L12" i="8"/>
  <c r="L33" i="8" s="1"/>
  <c r="L39" i="8" s="1"/>
  <c r="L40" i="8" s="1"/>
  <c r="N49" i="5"/>
  <c r="S48" i="5"/>
  <c r="T48" i="5" s="1"/>
  <c r="E62" i="5"/>
  <c r="D62" i="5" s="1"/>
  <c r="C62" i="5" s="1"/>
  <c r="N75" i="5"/>
  <c r="D35" i="6"/>
  <c r="N34" i="6"/>
  <c r="I7" i="8"/>
  <c r="I27" i="8" s="1"/>
  <c r="I69" i="8" s="1"/>
  <c r="D35" i="8"/>
  <c r="N49" i="8"/>
  <c r="I33" i="6"/>
  <c r="I39" i="6" s="1"/>
  <c r="I44" i="6" s="1"/>
  <c r="I15" i="6"/>
  <c r="I19" i="6" s="1"/>
  <c r="I22" i="6" s="1"/>
  <c r="I28" i="6"/>
  <c r="I30" i="6" s="1"/>
  <c r="I31" i="6" s="1"/>
  <c r="I51" i="6"/>
  <c r="M51" i="6"/>
  <c r="K51" i="8"/>
  <c r="D35" i="5"/>
  <c r="M12" i="6"/>
  <c r="K28" i="8"/>
  <c r="K30" i="8" s="1"/>
  <c r="K31" i="8" s="1"/>
  <c r="L51" i="8"/>
  <c r="N71" i="8"/>
  <c r="K12" i="5"/>
  <c r="K33" i="5" s="1"/>
  <c r="K39" i="5" s="1"/>
  <c r="K44" i="5" s="1"/>
  <c r="K51" i="5"/>
  <c r="N49" i="6"/>
  <c r="N51" i="6" s="1"/>
  <c r="J51" i="6"/>
  <c r="N75" i="6"/>
  <c r="I12" i="8"/>
  <c r="I33" i="8" s="1"/>
  <c r="I39" i="8" s="1"/>
  <c r="I44" i="8" s="1"/>
  <c r="T44" i="8"/>
  <c r="T25" i="8" s="1"/>
  <c r="E62" i="8"/>
  <c r="D62" i="8" s="1"/>
  <c r="C62" i="8" s="1"/>
  <c r="N75" i="8"/>
  <c r="L51" i="5"/>
  <c r="K51" i="6"/>
  <c r="L51" i="6"/>
  <c r="I7" i="6"/>
  <c r="I27" i="6" s="1"/>
  <c r="I69" i="6" s="1"/>
  <c r="I7" i="5"/>
  <c r="I27" i="5" s="1"/>
  <c r="I69" i="5" s="1"/>
  <c r="K33" i="8"/>
  <c r="K39" i="8" s="1"/>
  <c r="K15" i="8"/>
  <c r="E35" i="8"/>
  <c r="I51" i="8"/>
  <c r="M51" i="8"/>
  <c r="J12" i="8"/>
  <c r="N12" i="8"/>
  <c r="N27" i="8"/>
  <c r="N69" i="8" s="1"/>
  <c r="T32" i="8"/>
  <c r="T37" i="8" s="1"/>
  <c r="T23" i="8" s="1"/>
  <c r="T24" i="8" s="1"/>
  <c r="T27" i="8" s="1"/>
  <c r="T10" i="8" s="1"/>
  <c r="T11" i="8" s="1"/>
  <c r="N42" i="8"/>
  <c r="N48" i="8"/>
  <c r="N51" i="8" s="1"/>
  <c r="D13" i="8"/>
  <c r="R48" i="8"/>
  <c r="E44" i="8"/>
  <c r="E50" i="8" s="1"/>
  <c r="I40" i="6"/>
  <c r="E57" i="6"/>
  <c r="E58" i="6" s="1"/>
  <c r="E44" i="6"/>
  <c r="E50" i="6" s="1"/>
  <c r="E56" i="6"/>
  <c r="S37" i="6"/>
  <c r="T22" i="6" s="1"/>
  <c r="T32" i="6"/>
  <c r="T37" i="6" s="1"/>
  <c r="T23" i="6" s="1"/>
  <c r="E13" i="6"/>
  <c r="R48" i="6"/>
  <c r="N27" i="6"/>
  <c r="N69" i="6" s="1"/>
  <c r="J12" i="6"/>
  <c r="J28" i="6"/>
  <c r="J30" i="6" s="1"/>
  <c r="J31" i="6" s="1"/>
  <c r="N12" i="6"/>
  <c r="N28" i="6"/>
  <c r="N30" i="6" s="1"/>
  <c r="N31" i="6" s="1"/>
  <c r="N71" i="6"/>
  <c r="K12" i="6"/>
  <c r="D13" i="6"/>
  <c r="E68" i="6"/>
  <c r="R48" i="5"/>
  <c r="N27" i="5"/>
  <c r="N69" i="5" s="1"/>
  <c r="J28" i="5"/>
  <c r="J30" i="5" s="1"/>
  <c r="J31" i="5" s="1"/>
  <c r="J12" i="5"/>
  <c r="N28" i="5"/>
  <c r="N30" i="5" s="1"/>
  <c r="N31" i="5" s="1"/>
  <c r="N12" i="5"/>
  <c r="I12" i="5"/>
  <c r="L44" i="5"/>
  <c r="L45" i="5" s="1"/>
  <c r="L40" i="5"/>
  <c r="E35" i="5"/>
  <c r="I51" i="5"/>
  <c r="M51" i="5"/>
  <c r="L15" i="5"/>
  <c r="M12" i="5"/>
  <c r="S37" i="5"/>
  <c r="T22" i="5" s="1"/>
  <c r="T32" i="5"/>
  <c r="T37" i="5" s="1"/>
  <c r="T23" i="5" s="1"/>
  <c r="N42" i="5"/>
  <c r="N48" i="5"/>
  <c r="N51" i="5" s="1"/>
  <c r="E56" i="5"/>
  <c r="D13" i="5"/>
  <c r="E44" i="5"/>
  <c r="E50" i="5" s="1"/>
  <c r="L27" i="4"/>
  <c r="L69" i="4" s="1"/>
  <c r="M75" i="4"/>
  <c r="L75" i="4"/>
  <c r="J75" i="4"/>
  <c r="I75" i="4"/>
  <c r="N74" i="4"/>
  <c r="N73" i="4"/>
  <c r="N72" i="4"/>
  <c r="N37" i="4" s="1"/>
  <c r="M71" i="4"/>
  <c r="L71" i="4"/>
  <c r="K71" i="4"/>
  <c r="J71" i="4"/>
  <c r="I71" i="4"/>
  <c r="T70" i="4"/>
  <c r="N70" i="4"/>
  <c r="N42" i="4" s="1"/>
  <c r="I68" i="4"/>
  <c r="E68" i="4"/>
  <c r="D68" i="4"/>
  <c r="S48" i="4" s="1"/>
  <c r="T48" i="4" s="1"/>
  <c r="N56" i="4"/>
  <c r="N55" i="4"/>
  <c r="M48" i="4"/>
  <c r="L48" i="4"/>
  <c r="K48" i="4"/>
  <c r="J48" i="4"/>
  <c r="I48" i="4"/>
  <c r="R47" i="4"/>
  <c r="T43" i="4"/>
  <c r="S43" i="4"/>
  <c r="N43" i="4"/>
  <c r="N50" i="4" s="1"/>
  <c r="T42" i="4"/>
  <c r="S42" i="4"/>
  <c r="M42" i="4"/>
  <c r="L42" i="4"/>
  <c r="K42" i="4"/>
  <c r="J42" i="4"/>
  <c r="I42" i="4"/>
  <c r="T41" i="4"/>
  <c r="S41" i="4"/>
  <c r="N38" i="4"/>
  <c r="E38" i="4"/>
  <c r="E56" i="4" s="1"/>
  <c r="Q37" i="4"/>
  <c r="M37" i="4"/>
  <c r="M49" i="4" s="1"/>
  <c r="L37" i="4"/>
  <c r="L49" i="4" s="1"/>
  <c r="K37" i="4"/>
  <c r="K49" i="4" s="1"/>
  <c r="J37" i="4"/>
  <c r="J49" i="4" s="1"/>
  <c r="I37" i="4"/>
  <c r="I49" i="4" s="1"/>
  <c r="S36" i="4"/>
  <c r="T36" i="4" s="1"/>
  <c r="N36" i="4"/>
  <c r="S35" i="4"/>
  <c r="T35" i="4" s="1"/>
  <c r="N35" i="4"/>
  <c r="S34" i="4"/>
  <c r="T34" i="4" s="1"/>
  <c r="S33" i="4"/>
  <c r="T33" i="4" s="1"/>
  <c r="S32" i="4"/>
  <c r="N29" i="4"/>
  <c r="N34" i="4" s="1"/>
  <c r="E28" i="4"/>
  <c r="E33" i="4" s="1"/>
  <c r="D28" i="4"/>
  <c r="D33" i="4" s="1"/>
  <c r="M27" i="4"/>
  <c r="M69" i="4" s="1"/>
  <c r="I26" i="4"/>
  <c r="N21" i="4"/>
  <c r="N18" i="4"/>
  <c r="E18" i="4"/>
  <c r="E23" i="4" s="1"/>
  <c r="D18" i="4"/>
  <c r="D23" i="4" s="1"/>
  <c r="N17" i="4"/>
  <c r="N16" i="4"/>
  <c r="T15" i="4"/>
  <c r="T14" i="4"/>
  <c r="N14" i="4"/>
  <c r="N13" i="4"/>
  <c r="N11" i="4"/>
  <c r="M10" i="4"/>
  <c r="M28" i="4" s="1"/>
  <c r="M30" i="4" s="1"/>
  <c r="M31" i="4" s="1"/>
  <c r="L10" i="4"/>
  <c r="L12" i="4" s="1"/>
  <c r="K10" i="4"/>
  <c r="K28" i="4" s="1"/>
  <c r="K30" i="4" s="1"/>
  <c r="J10" i="4"/>
  <c r="J28" i="4" s="1"/>
  <c r="J30" i="4" s="1"/>
  <c r="J31" i="4" s="1"/>
  <c r="I10" i="4"/>
  <c r="I12" i="4" s="1"/>
  <c r="N9" i="4"/>
  <c r="N8" i="4"/>
  <c r="N7" i="4"/>
  <c r="N27" i="4" s="1"/>
  <c r="N69" i="4" s="1"/>
  <c r="K27" i="4"/>
  <c r="K69" i="4" s="1"/>
  <c r="J7" i="4"/>
  <c r="J27" i="4" s="1"/>
  <c r="J69" i="4" s="1"/>
  <c r="I6" i="4"/>
  <c r="A2" i="4"/>
  <c r="A1" i="4"/>
  <c r="A28" i="1"/>
  <c r="A29" i="1"/>
  <c r="A30" i="1"/>
  <c r="A27" i="1"/>
  <c r="A1" i="1"/>
  <c r="D27" i="1"/>
  <c r="Q27" i="1"/>
  <c r="V27" i="1"/>
  <c r="S27" i="1"/>
  <c r="G27" i="1"/>
  <c r="E27" i="1"/>
  <c r="Y27" i="1"/>
  <c r="D28" i="1"/>
  <c r="T27" i="1"/>
  <c r="O27" i="1"/>
  <c r="E28" i="1"/>
  <c r="W27" i="1"/>
  <c r="P27" i="1"/>
  <c r="X27" i="1"/>
  <c r="I27" i="1"/>
  <c r="J27" i="1"/>
  <c r="H27" i="1"/>
  <c r="F27" i="1"/>
  <c r="R27" i="1"/>
  <c r="O7" i="2" l="1"/>
  <c r="N7" i="2"/>
  <c r="M7" i="2"/>
  <c r="L7" i="2"/>
  <c r="E59" i="5"/>
  <c r="E60" i="5" s="1"/>
  <c r="M40" i="8"/>
  <c r="M15" i="8"/>
  <c r="M20" i="8" s="1"/>
  <c r="L44" i="8"/>
  <c r="L45" i="8" s="1"/>
  <c r="L40" i="6"/>
  <c r="L15" i="6"/>
  <c r="I47" i="6"/>
  <c r="I20" i="6"/>
  <c r="N10" i="4"/>
  <c r="I52" i="6"/>
  <c r="I53" i="6" s="1"/>
  <c r="K40" i="5"/>
  <c r="N12" i="4"/>
  <c r="N15" i="4" s="1"/>
  <c r="K15" i="5"/>
  <c r="K20" i="5" s="1"/>
  <c r="I15" i="8"/>
  <c r="I20" i="8" s="1"/>
  <c r="L15" i="8"/>
  <c r="L19" i="8" s="1"/>
  <c r="E35" i="4"/>
  <c r="E71" i="8"/>
  <c r="I40" i="8"/>
  <c r="M33" i="6"/>
  <c r="M39" i="6" s="1"/>
  <c r="M15" i="6"/>
  <c r="E62" i="4"/>
  <c r="D62" i="4" s="1"/>
  <c r="C62" i="4" s="1"/>
  <c r="K51" i="4"/>
  <c r="I33" i="4"/>
  <c r="I39" i="4" s="1"/>
  <c r="I40" i="4" s="1"/>
  <c r="I15" i="4"/>
  <c r="I20" i="4" s="1"/>
  <c r="I28" i="4"/>
  <c r="I30" i="4" s="1"/>
  <c r="I31" i="4" s="1"/>
  <c r="N48" i="4"/>
  <c r="L28" i="4"/>
  <c r="L30" i="4" s="1"/>
  <c r="L31" i="4" s="1"/>
  <c r="S37" i="4"/>
  <c r="T22" i="4" s="1"/>
  <c r="T44" i="4"/>
  <c r="T25" i="4" s="1"/>
  <c r="M12" i="4"/>
  <c r="D35" i="4"/>
  <c r="L51" i="4"/>
  <c r="E59" i="6"/>
  <c r="E60" i="6" s="1"/>
  <c r="R53" i="8"/>
  <c r="T17" i="8"/>
  <c r="J33" i="8"/>
  <c r="J39" i="8" s="1"/>
  <c r="C65" i="8" s="1"/>
  <c r="J15" i="8"/>
  <c r="E63" i="8"/>
  <c r="R62" i="8" s="1"/>
  <c r="E72" i="8"/>
  <c r="K20" i="8"/>
  <c r="K19" i="8"/>
  <c r="I19" i="8"/>
  <c r="M19" i="8"/>
  <c r="D63" i="8"/>
  <c r="D71" i="8"/>
  <c r="K44" i="8"/>
  <c r="K40" i="8"/>
  <c r="N33" i="8"/>
  <c r="N39" i="8" s="1"/>
  <c r="N15" i="8"/>
  <c r="C63" i="8"/>
  <c r="E70" i="8"/>
  <c r="I45" i="8"/>
  <c r="J33" i="6"/>
  <c r="J39" i="6" s="1"/>
  <c r="J15" i="6"/>
  <c r="T24" i="6"/>
  <c r="T27" i="6" s="1"/>
  <c r="T10" i="6" s="1"/>
  <c r="T11" i="6" s="1"/>
  <c r="I45" i="6"/>
  <c r="K33" i="6"/>
  <c r="K39" i="6" s="1"/>
  <c r="K15" i="6"/>
  <c r="N33" i="6"/>
  <c r="N39" i="6" s="1"/>
  <c r="N15" i="6"/>
  <c r="E63" i="6"/>
  <c r="D69" i="6"/>
  <c r="L20" i="6"/>
  <c r="L19" i="6"/>
  <c r="K45" i="5"/>
  <c r="T24" i="5"/>
  <c r="T27" i="5" s="1"/>
  <c r="T10" i="5" s="1"/>
  <c r="T11" i="5" s="1"/>
  <c r="D71" i="5"/>
  <c r="K19" i="5"/>
  <c r="L19" i="5"/>
  <c r="L20" i="5"/>
  <c r="J33" i="5"/>
  <c r="J39" i="5" s="1"/>
  <c r="J15" i="5"/>
  <c r="I15" i="5"/>
  <c r="I33" i="5"/>
  <c r="I39" i="5" s="1"/>
  <c r="N33" i="5"/>
  <c r="N39" i="5" s="1"/>
  <c r="N15" i="5"/>
  <c r="D69" i="5"/>
  <c r="M33" i="5"/>
  <c r="M39" i="5" s="1"/>
  <c r="M15" i="5"/>
  <c r="I7" i="4"/>
  <c r="I27" i="4" s="1"/>
  <c r="I69" i="4" s="1"/>
  <c r="L33" i="4"/>
  <c r="L39" i="4" s="1"/>
  <c r="L15" i="4"/>
  <c r="N28" i="4"/>
  <c r="N30" i="4" s="1"/>
  <c r="N31" i="4" s="1"/>
  <c r="T32" i="4"/>
  <c r="T37" i="4" s="1"/>
  <c r="T23" i="4" s="1"/>
  <c r="T24" i="4" s="1"/>
  <c r="T27" i="4" s="1"/>
  <c r="T10" i="4" s="1"/>
  <c r="T11" i="4" s="1"/>
  <c r="N49" i="4"/>
  <c r="E59" i="4"/>
  <c r="E44" i="4"/>
  <c r="E50" i="4" s="1"/>
  <c r="I51" i="4"/>
  <c r="M51" i="4"/>
  <c r="N75" i="4"/>
  <c r="E13" i="4"/>
  <c r="R48" i="4"/>
  <c r="J12" i="4"/>
  <c r="D13" i="4"/>
  <c r="K12" i="4"/>
  <c r="N71" i="4"/>
  <c r="J51" i="4"/>
  <c r="R16" i="1"/>
  <c r="X5" i="2" s="1"/>
  <c r="X17" i="2" s="1"/>
  <c r="X19" i="2" s="1"/>
  <c r="X21" i="2" s="1"/>
  <c r="R19" i="1"/>
  <c r="X4" i="2" s="1"/>
  <c r="X10" i="2" s="1"/>
  <c r="X12" i="2" s="1"/>
  <c r="X14" i="2" s="1"/>
  <c r="R18" i="1"/>
  <c r="R17" i="1"/>
  <c r="X6" i="2" s="1"/>
  <c r="X24" i="2" s="1"/>
  <c r="X26" i="2" s="1"/>
  <c r="X28" i="2" s="1"/>
  <c r="R20" i="1"/>
  <c r="K19" i="1"/>
  <c r="Q4" i="2" s="1"/>
  <c r="K18" i="1"/>
  <c r="K17" i="1"/>
  <c r="Q6" i="2" s="1"/>
  <c r="Q24" i="2" s="1"/>
  <c r="Q26" i="2" s="1"/>
  <c r="Q28" i="2" s="1"/>
  <c r="K16" i="1"/>
  <c r="Q5" i="2" s="1"/>
  <c r="Q17" i="2" s="1"/>
  <c r="Q19" i="2" s="1"/>
  <c r="Q21" i="2" s="1"/>
  <c r="O19" i="1"/>
  <c r="W4" i="2" s="1"/>
  <c r="W10" i="2" s="1"/>
  <c r="W12" i="2" s="1"/>
  <c r="W14" i="2" s="1"/>
  <c r="O18" i="1"/>
  <c r="O17" i="1"/>
  <c r="W6" i="2" s="1"/>
  <c r="W24" i="2" s="1"/>
  <c r="W26" i="2" s="1"/>
  <c r="W28" i="2" s="1"/>
  <c r="O16" i="1"/>
  <c r="W5" i="2" s="1"/>
  <c r="W17" i="2" s="1"/>
  <c r="W19" i="2" s="1"/>
  <c r="W21" i="2" s="1"/>
  <c r="W19" i="1"/>
  <c r="W18" i="1"/>
  <c r="W17" i="1"/>
  <c r="W16" i="1"/>
  <c r="K20" i="1"/>
  <c r="O20" i="1"/>
  <c r="S20" i="1"/>
  <c r="W20" i="1"/>
  <c r="J19" i="1"/>
  <c r="L4" i="2" s="1"/>
  <c r="J17" i="1"/>
  <c r="L6" i="2" s="1"/>
  <c r="J18" i="1"/>
  <c r="J16" i="1"/>
  <c r="L5" i="2" s="1"/>
  <c r="V19" i="1"/>
  <c r="V18" i="1"/>
  <c r="V17" i="1"/>
  <c r="V16" i="1"/>
  <c r="P19" i="1"/>
  <c r="N4" i="2" s="1"/>
  <c r="P18" i="1"/>
  <c r="P17" i="1"/>
  <c r="N6" i="2" s="1"/>
  <c r="P16" i="1"/>
  <c r="N5" i="2" s="1"/>
  <c r="X19" i="1"/>
  <c r="X18" i="1"/>
  <c r="X17" i="1"/>
  <c r="X16" i="1"/>
  <c r="L20" i="1"/>
  <c r="P20" i="1"/>
  <c r="X20" i="1"/>
  <c r="J20" i="1"/>
  <c r="V20" i="1"/>
  <c r="Q19" i="1"/>
  <c r="S4" i="2" s="1"/>
  <c r="Q18" i="1"/>
  <c r="Q17" i="1"/>
  <c r="S6" i="2" s="1"/>
  <c r="S24" i="2" s="1"/>
  <c r="S26" i="2" s="1"/>
  <c r="S28" i="2" s="1"/>
  <c r="Q16" i="1"/>
  <c r="S5" i="2" s="1"/>
  <c r="S17" i="2" s="1"/>
  <c r="S19" i="2" s="1"/>
  <c r="S21" i="2" s="1"/>
  <c r="U19" i="1"/>
  <c r="Y4" i="2" s="1"/>
  <c r="Y12" i="2" s="1"/>
  <c r="U18" i="1"/>
  <c r="U17" i="1"/>
  <c r="Y6" i="2" s="1"/>
  <c r="Y26" i="2" s="1"/>
  <c r="U16" i="1"/>
  <c r="Y5" i="2" s="1"/>
  <c r="Y19" i="2" s="1"/>
  <c r="Y19" i="1"/>
  <c r="Y18" i="1"/>
  <c r="Y17" i="1"/>
  <c r="Y16" i="1"/>
  <c r="G12" i="1"/>
  <c r="Q20" i="1"/>
  <c r="U20" i="1"/>
  <c r="Y20" i="1"/>
  <c r="E29" i="1"/>
  <c r="G28" i="1"/>
  <c r="I30" i="1"/>
  <c r="Y30" i="1"/>
  <c r="D29" i="1"/>
  <c r="G29" i="1"/>
  <c r="U28" i="1"/>
  <c r="W30" i="1"/>
  <c r="H28" i="1"/>
  <c r="Q29" i="1"/>
  <c r="D30" i="1"/>
  <c r="H30" i="1"/>
  <c r="T30" i="1"/>
  <c r="P29" i="1"/>
  <c r="J29" i="1"/>
  <c r="Y28" i="1"/>
  <c r="J28" i="1"/>
  <c r="P30" i="1"/>
  <c r="V28" i="1"/>
  <c r="S28" i="1"/>
  <c r="V29" i="1"/>
  <c r="U29" i="1"/>
  <c r="T29" i="1"/>
  <c r="X28" i="1"/>
  <c r="R29" i="1"/>
  <c r="U27" i="1"/>
  <c r="S29" i="1"/>
  <c r="X30" i="1"/>
  <c r="O28" i="1"/>
  <c r="Y29" i="1"/>
  <c r="R30" i="1"/>
  <c r="S30" i="1"/>
  <c r="X29" i="1"/>
  <c r="Q30" i="1"/>
  <c r="U30" i="1"/>
  <c r="W28" i="1"/>
  <c r="F30" i="1"/>
  <c r="T28" i="1"/>
  <c r="I29" i="1"/>
  <c r="O29" i="1"/>
  <c r="F29" i="1"/>
  <c r="P28" i="1"/>
  <c r="G30" i="1"/>
  <c r="H29" i="1"/>
  <c r="E30" i="1"/>
  <c r="O30" i="1"/>
  <c r="R28" i="1"/>
  <c r="V30" i="1"/>
  <c r="W29" i="1"/>
  <c r="J30" i="1"/>
  <c r="Q28" i="1"/>
  <c r="F28" i="1"/>
  <c r="I28" i="1"/>
  <c r="N10" i="2" l="1"/>
  <c r="N12" i="2" s="1"/>
  <c r="N14" i="2" s="1"/>
  <c r="B6" i="2"/>
  <c r="D6" i="2"/>
  <c r="Y24" i="2"/>
  <c r="Y28" i="2"/>
  <c r="Y17" i="2"/>
  <c r="Y21" i="2"/>
  <c r="N24" i="2"/>
  <c r="N26" i="2" s="1"/>
  <c r="N28" i="2" s="1"/>
  <c r="L24" i="2"/>
  <c r="L26" i="2" s="1"/>
  <c r="L28" i="2" s="1"/>
  <c r="L17" i="2"/>
  <c r="L19" i="2" s="1"/>
  <c r="L21" i="2" s="1"/>
  <c r="N17" i="2"/>
  <c r="N19" i="2" s="1"/>
  <c r="N21" i="2" s="1"/>
  <c r="S10" i="2"/>
  <c r="S12" i="2" s="1"/>
  <c r="S14" i="2" s="1"/>
  <c r="Q10" i="2"/>
  <c r="Q12" i="2" s="1"/>
  <c r="Q14" i="2" s="1"/>
  <c r="L10" i="2"/>
  <c r="L12" i="2" s="1"/>
  <c r="L14" i="2" s="1"/>
  <c r="T17" i="1"/>
  <c r="T6" i="2" s="1"/>
  <c r="T26" i="2" s="1"/>
  <c r="T16" i="1"/>
  <c r="T5" i="2" s="1"/>
  <c r="T19" i="2" s="1"/>
  <c r="T19" i="1"/>
  <c r="T4" i="2" s="1"/>
  <c r="T12" i="2" s="1"/>
  <c r="T18" i="1"/>
  <c r="N16" i="1"/>
  <c r="R5" i="2" s="1"/>
  <c r="R17" i="2" s="1"/>
  <c r="R19" i="2" s="1"/>
  <c r="R21" i="2" s="1"/>
  <c r="N17" i="1"/>
  <c r="R6" i="2" s="1"/>
  <c r="R24" i="2" s="1"/>
  <c r="R26" i="2" s="1"/>
  <c r="R28" i="2" s="1"/>
  <c r="N19" i="1"/>
  <c r="R4" i="2" s="1"/>
  <c r="N18" i="1"/>
  <c r="M18" i="1"/>
  <c r="M17" i="1"/>
  <c r="M6" i="2" s="1"/>
  <c r="M24" i="2" s="1"/>
  <c r="M26" i="2" s="1"/>
  <c r="M28" i="2" s="1"/>
  <c r="M16" i="1"/>
  <c r="M5" i="2" s="1"/>
  <c r="M17" i="2" s="1"/>
  <c r="M19" i="2" s="1"/>
  <c r="M21" i="2" s="1"/>
  <c r="M19" i="1"/>
  <c r="M4" i="2" s="1"/>
  <c r="M10" i="2" s="1"/>
  <c r="R63" i="8"/>
  <c r="E71" i="5"/>
  <c r="D70" i="5"/>
  <c r="E72" i="5"/>
  <c r="T52" i="5" s="1"/>
  <c r="E69" i="5"/>
  <c r="R63" i="5" s="1"/>
  <c r="E70" i="5"/>
  <c r="E63" i="5"/>
  <c r="C63" i="5"/>
  <c r="D63" i="5"/>
  <c r="L20" i="8"/>
  <c r="I57" i="6"/>
  <c r="N33" i="4"/>
  <c r="N39" i="4" s="1"/>
  <c r="N40" i="4" s="1"/>
  <c r="S16" i="1"/>
  <c r="O5" i="2" s="1"/>
  <c r="O19" i="2" s="1"/>
  <c r="S19" i="1"/>
  <c r="O4" i="2" s="1"/>
  <c r="S18" i="1"/>
  <c r="S17" i="1"/>
  <c r="O6" i="2" s="1"/>
  <c r="O26" i="2" s="1"/>
  <c r="L17" i="1"/>
  <c r="V6" i="2" s="1"/>
  <c r="V24" i="2" s="1"/>
  <c r="V26" i="2" s="1"/>
  <c r="V28" i="2" s="1"/>
  <c r="L19" i="1"/>
  <c r="V4" i="2" s="1"/>
  <c r="V10" i="2" s="1"/>
  <c r="V12" i="2" s="1"/>
  <c r="V14" i="2" s="1"/>
  <c r="L16" i="1"/>
  <c r="V5" i="2" s="1"/>
  <c r="V17" i="2" s="1"/>
  <c r="V19" i="2" s="1"/>
  <c r="V21" i="2" s="1"/>
  <c r="L18" i="1"/>
  <c r="G11" i="1"/>
  <c r="M20" i="1"/>
  <c r="T20" i="1"/>
  <c r="N20" i="1"/>
  <c r="G13" i="1"/>
  <c r="G14" i="1"/>
  <c r="D63" i="6"/>
  <c r="E71" i="6"/>
  <c r="E69" i="6"/>
  <c r="R63" i="6" s="1"/>
  <c r="E72" i="6"/>
  <c r="C63" i="6"/>
  <c r="D65" i="6"/>
  <c r="C65" i="6"/>
  <c r="M44" i="6"/>
  <c r="M45" i="6" s="1"/>
  <c r="M40" i="6"/>
  <c r="I44" i="4"/>
  <c r="I45" i="4" s="1"/>
  <c r="M19" i="6"/>
  <c r="M20" i="6"/>
  <c r="I19" i="4"/>
  <c r="I22" i="4" s="1"/>
  <c r="N51" i="4"/>
  <c r="M33" i="4"/>
  <c r="M39" i="4" s="1"/>
  <c r="M15" i="4"/>
  <c r="E70" i="6"/>
  <c r="I22" i="8"/>
  <c r="I47" i="8"/>
  <c r="I52" i="8" s="1"/>
  <c r="D70" i="8"/>
  <c r="S50" i="8" s="1"/>
  <c r="K45" i="8"/>
  <c r="K47" i="8"/>
  <c r="K52" i="8" s="1"/>
  <c r="K22" i="8"/>
  <c r="T51" i="8"/>
  <c r="S51" i="8"/>
  <c r="T50" i="8"/>
  <c r="R51" i="8"/>
  <c r="T49" i="8"/>
  <c r="N19" i="8"/>
  <c r="N47" i="8" s="1"/>
  <c r="N52" i="8" s="1"/>
  <c r="N20" i="8"/>
  <c r="M22" i="8"/>
  <c r="M47" i="8"/>
  <c r="M52" i="8" s="1"/>
  <c r="J19" i="8"/>
  <c r="J20" i="8"/>
  <c r="L22" i="8"/>
  <c r="L47" i="8"/>
  <c r="L52" i="8" s="1"/>
  <c r="R59" i="8"/>
  <c r="R58" i="8"/>
  <c r="N44" i="8"/>
  <c r="N40" i="8"/>
  <c r="T52" i="8"/>
  <c r="J44" i="8"/>
  <c r="J40" i="8"/>
  <c r="E65" i="8"/>
  <c r="D65" i="8"/>
  <c r="T52" i="6"/>
  <c r="K20" i="6"/>
  <c r="K19" i="6"/>
  <c r="R53" i="6"/>
  <c r="T73" i="6"/>
  <c r="T17" i="6"/>
  <c r="N40" i="6"/>
  <c r="N44" i="6"/>
  <c r="T67" i="6"/>
  <c r="R62" i="6"/>
  <c r="D71" i="6"/>
  <c r="K44" i="6"/>
  <c r="K40" i="6"/>
  <c r="J19" i="6"/>
  <c r="J20" i="6"/>
  <c r="L22" i="6"/>
  <c r="L47" i="6"/>
  <c r="L52" i="6" s="1"/>
  <c r="R59" i="6"/>
  <c r="R58" i="6"/>
  <c r="N19" i="6"/>
  <c r="N47" i="6" s="1"/>
  <c r="N52" i="6" s="1"/>
  <c r="N20" i="6"/>
  <c r="J44" i="6"/>
  <c r="J40" i="6"/>
  <c r="E65" i="6"/>
  <c r="D65" i="5"/>
  <c r="I44" i="5"/>
  <c r="I40" i="5"/>
  <c r="C65" i="5"/>
  <c r="M19" i="5"/>
  <c r="M20" i="5"/>
  <c r="R62" i="5"/>
  <c r="I19" i="5"/>
  <c r="I20" i="5"/>
  <c r="J44" i="5"/>
  <c r="J40" i="5"/>
  <c r="E65" i="5"/>
  <c r="R59" i="5"/>
  <c r="R58" i="5"/>
  <c r="J20" i="5"/>
  <c r="J19" i="5"/>
  <c r="K47" i="5"/>
  <c r="K52" i="5" s="1"/>
  <c r="K22" i="5"/>
  <c r="M44" i="5"/>
  <c r="M45" i="5" s="1"/>
  <c r="M40" i="5"/>
  <c r="N20" i="5"/>
  <c r="N19" i="5"/>
  <c r="N47" i="5" s="1"/>
  <c r="N52" i="5" s="1"/>
  <c r="N44" i="5"/>
  <c r="N40" i="5"/>
  <c r="T67" i="5"/>
  <c r="L22" i="5"/>
  <c r="L47" i="5"/>
  <c r="L52" i="5" s="1"/>
  <c r="R53" i="5"/>
  <c r="T73" i="5"/>
  <c r="T17" i="5"/>
  <c r="T73" i="4"/>
  <c r="T17" i="4"/>
  <c r="J33" i="4"/>
  <c r="J39" i="4" s="1"/>
  <c r="J15" i="4"/>
  <c r="L20" i="4"/>
  <c r="L19" i="4"/>
  <c r="K15" i="4"/>
  <c r="K33" i="4"/>
  <c r="K39" i="4" s="1"/>
  <c r="L44" i="4"/>
  <c r="L45" i="4" s="1"/>
  <c r="L40" i="4"/>
  <c r="E60" i="4"/>
  <c r="T67" i="4"/>
  <c r="N19" i="4"/>
  <c r="N47" i="4" s="1"/>
  <c r="N52" i="4" s="1"/>
  <c r="N20" i="4"/>
  <c r="K29" i="1"/>
  <c r="R36" i="1"/>
  <c r="R33" i="1"/>
  <c r="R34" i="1"/>
  <c r="R32" i="1"/>
  <c r="R35" i="1"/>
  <c r="P36" i="1"/>
  <c r="P33" i="1"/>
  <c r="P35" i="1"/>
  <c r="P32" i="1"/>
  <c r="P34" i="1"/>
  <c r="S34" i="1"/>
  <c r="S35" i="1"/>
  <c r="S32" i="1"/>
  <c r="S33" i="1"/>
  <c r="N28" i="1"/>
  <c r="M28" i="1"/>
  <c r="O34" i="1"/>
  <c r="O33" i="1"/>
  <c r="O35" i="1"/>
  <c r="O32" i="1"/>
  <c r="Y36" i="1"/>
  <c r="L28" i="1"/>
  <c r="K27" i="1"/>
  <c r="S36" i="1"/>
  <c r="X36" i="1"/>
  <c r="X34" i="1"/>
  <c r="X33" i="1"/>
  <c r="X35" i="1"/>
  <c r="X32" i="1"/>
  <c r="N27" i="1"/>
  <c r="N29" i="1"/>
  <c r="K28" i="1"/>
  <c r="L27" i="1"/>
  <c r="U36" i="1"/>
  <c r="O36" i="1"/>
  <c r="T36" i="1"/>
  <c r="T32" i="1"/>
  <c r="T33" i="1"/>
  <c r="T35" i="1"/>
  <c r="T34" i="1"/>
  <c r="Y32" i="1"/>
  <c r="Y33" i="1"/>
  <c r="Y35" i="1"/>
  <c r="Y34" i="1"/>
  <c r="M27" i="1"/>
  <c r="U32" i="1"/>
  <c r="U35" i="1"/>
  <c r="U33" i="1"/>
  <c r="U34" i="1"/>
  <c r="C6" i="2" l="1"/>
  <c r="B5" i="2"/>
  <c r="D5" i="2"/>
  <c r="D3" i="2"/>
  <c r="B3" i="2"/>
  <c r="D2" i="2"/>
  <c r="B2" i="2"/>
  <c r="O24" i="2"/>
  <c r="O28" i="2"/>
  <c r="T24" i="2"/>
  <c r="T28" i="2"/>
  <c r="T17" i="2"/>
  <c r="T21" i="2"/>
  <c r="O17" i="2"/>
  <c r="O21" i="2"/>
  <c r="R10" i="2"/>
  <c r="R12" i="2" s="1"/>
  <c r="R14" i="2" s="1"/>
  <c r="M12" i="2"/>
  <c r="M14" i="2" s="1"/>
  <c r="O12" i="2"/>
  <c r="O10" i="2" s="1"/>
  <c r="N44" i="4"/>
  <c r="I47" i="4"/>
  <c r="I52" i="4" s="1"/>
  <c r="L29" i="1"/>
  <c r="Q36" i="1"/>
  <c r="Q32" i="1"/>
  <c r="Q33" i="1"/>
  <c r="Q35" i="1"/>
  <c r="Q34" i="1"/>
  <c r="M29" i="1"/>
  <c r="V36" i="1"/>
  <c r="W33" i="1"/>
  <c r="W32" i="1"/>
  <c r="W34" i="1"/>
  <c r="W36" i="1"/>
  <c r="W35" i="1"/>
  <c r="M30" i="1"/>
  <c r="V35" i="1"/>
  <c r="V34" i="1"/>
  <c r="V33" i="1"/>
  <c r="V32" i="1"/>
  <c r="N30" i="1"/>
  <c r="N36" i="1" s="1"/>
  <c r="K30" i="1"/>
  <c r="K36" i="1" s="1"/>
  <c r="L30" i="1"/>
  <c r="D65" i="4"/>
  <c r="M22" i="6"/>
  <c r="M47" i="6"/>
  <c r="M52" i="6" s="1"/>
  <c r="M20" i="4"/>
  <c r="M19" i="4"/>
  <c r="M44" i="4"/>
  <c r="M45" i="4" s="1"/>
  <c r="M40" i="4"/>
  <c r="D63" i="4"/>
  <c r="N22" i="8"/>
  <c r="J47" i="8"/>
  <c r="J52" i="8" s="1"/>
  <c r="J22" i="8"/>
  <c r="N53" i="8"/>
  <c r="N57" i="8"/>
  <c r="R52" i="8" s="1"/>
  <c r="K53" i="8"/>
  <c r="K57" i="8"/>
  <c r="D72" i="8" s="1"/>
  <c r="I57" i="8"/>
  <c r="I53" i="8"/>
  <c r="E64" i="8"/>
  <c r="J45" i="8"/>
  <c r="C64" i="8"/>
  <c r="D64" i="8"/>
  <c r="N45" i="8"/>
  <c r="L57" i="8"/>
  <c r="L53" i="8"/>
  <c r="M53" i="8"/>
  <c r="M57" i="8"/>
  <c r="R50" i="8"/>
  <c r="E64" i="6"/>
  <c r="J45" i="6"/>
  <c r="D64" i="6"/>
  <c r="C64" i="6"/>
  <c r="J47" i="6"/>
  <c r="J52" i="6" s="1"/>
  <c r="J22" i="6"/>
  <c r="T75" i="6"/>
  <c r="N45" i="6"/>
  <c r="K45" i="6"/>
  <c r="D70" i="6"/>
  <c r="S62" i="6" s="1"/>
  <c r="T51" i="6"/>
  <c r="R49" i="6"/>
  <c r="T49" i="6"/>
  <c r="S51" i="6"/>
  <c r="T50" i="6"/>
  <c r="R51" i="6"/>
  <c r="R50" i="6"/>
  <c r="S49" i="6"/>
  <c r="N53" i="6"/>
  <c r="T69" i="6"/>
  <c r="N57" i="6"/>
  <c r="R52" i="6" s="1"/>
  <c r="T68" i="6"/>
  <c r="L57" i="6"/>
  <c r="L53" i="6"/>
  <c r="K47" i="6"/>
  <c r="K52" i="6" s="1"/>
  <c r="K22" i="6"/>
  <c r="L57" i="5"/>
  <c r="L53" i="5"/>
  <c r="T51" i="5"/>
  <c r="R49" i="5"/>
  <c r="S51" i="5"/>
  <c r="T50" i="5"/>
  <c r="R51" i="5"/>
  <c r="S50" i="5"/>
  <c r="T49" i="5"/>
  <c r="R50" i="5"/>
  <c r="S49" i="5"/>
  <c r="T75" i="5"/>
  <c r="N45" i="5"/>
  <c r="N53" i="5"/>
  <c r="T69" i="5"/>
  <c r="N57" i="5"/>
  <c r="R52" i="5" s="1"/>
  <c r="T68" i="5"/>
  <c r="E64" i="5"/>
  <c r="J45" i="5"/>
  <c r="I45" i="5"/>
  <c r="D64" i="5"/>
  <c r="C64" i="5"/>
  <c r="J47" i="5"/>
  <c r="J52" i="5" s="1"/>
  <c r="J22" i="5"/>
  <c r="I47" i="5"/>
  <c r="I52" i="5" s="1"/>
  <c r="I22" i="5"/>
  <c r="K53" i="5"/>
  <c r="D72" i="5"/>
  <c r="M47" i="5"/>
  <c r="M52" i="5" s="1"/>
  <c r="M22" i="5"/>
  <c r="N22" i="5" s="1"/>
  <c r="C63" i="4"/>
  <c r="E70" i="4"/>
  <c r="T50" i="4" s="1"/>
  <c r="E63" i="4"/>
  <c r="R58" i="4" s="1"/>
  <c r="D69" i="4"/>
  <c r="E72" i="4"/>
  <c r="T52" i="4" s="1"/>
  <c r="C65" i="4"/>
  <c r="E71" i="4"/>
  <c r="T51" i="4" s="1"/>
  <c r="K44" i="4"/>
  <c r="K40" i="4"/>
  <c r="D71" i="4"/>
  <c r="S51" i="4" s="1"/>
  <c r="I57" i="4"/>
  <c r="I53" i="4"/>
  <c r="J19" i="4"/>
  <c r="J20" i="4"/>
  <c r="R49" i="4"/>
  <c r="R50" i="4"/>
  <c r="R51" i="4"/>
  <c r="T75" i="4"/>
  <c r="N45" i="4"/>
  <c r="N53" i="4"/>
  <c r="T69" i="4"/>
  <c r="T68" i="4"/>
  <c r="N57" i="4"/>
  <c r="R52" i="4" s="1"/>
  <c r="K19" i="4"/>
  <c r="E65" i="4"/>
  <c r="J40" i="4"/>
  <c r="J44" i="4"/>
  <c r="E69" i="4"/>
  <c r="L47" i="4"/>
  <c r="L52" i="4" s="1"/>
  <c r="L22" i="4"/>
  <c r="L32" i="1" l="1"/>
  <c r="N33" i="1"/>
  <c r="C5" i="2"/>
  <c r="B7" i="2"/>
  <c r="D7" i="2"/>
  <c r="D4" i="2"/>
  <c r="B4" i="2"/>
  <c r="C3" i="2"/>
  <c r="C2" i="2"/>
  <c r="O14" i="2"/>
  <c r="N34" i="1"/>
  <c r="K33" i="1"/>
  <c r="K35" i="1"/>
  <c r="N32" i="1"/>
  <c r="M32" i="1"/>
  <c r="N35" i="1"/>
  <c r="M34" i="1"/>
  <c r="M33" i="1"/>
  <c r="M35" i="1"/>
  <c r="M36" i="1"/>
  <c r="L36" i="1"/>
  <c r="K34" i="1"/>
  <c r="L35" i="1"/>
  <c r="L34" i="1"/>
  <c r="K32" i="1"/>
  <c r="L33" i="1"/>
  <c r="S62" i="8"/>
  <c r="S58" i="8"/>
  <c r="N22" i="6"/>
  <c r="R62" i="4"/>
  <c r="R59" i="4"/>
  <c r="M57" i="6"/>
  <c r="M53" i="6"/>
  <c r="R63" i="4"/>
  <c r="M47" i="4"/>
  <c r="M52" i="4" s="1"/>
  <c r="M22" i="4"/>
  <c r="N22" i="4" s="1"/>
  <c r="S50" i="6"/>
  <c r="J53" i="8"/>
  <c r="J57" i="8"/>
  <c r="E66" i="8" s="1"/>
  <c r="S59" i="8"/>
  <c r="S63" i="8"/>
  <c r="S52" i="8"/>
  <c r="K53" i="6"/>
  <c r="K57" i="6"/>
  <c r="D72" i="6" s="1"/>
  <c r="J53" i="6"/>
  <c r="J57" i="6"/>
  <c r="S59" i="6"/>
  <c r="S58" i="6"/>
  <c r="S63" i="6"/>
  <c r="S59" i="5"/>
  <c r="S58" i="5"/>
  <c r="S63" i="5"/>
  <c r="S62" i="5"/>
  <c r="M53" i="5"/>
  <c r="M57" i="5"/>
  <c r="I53" i="5"/>
  <c r="I57" i="5"/>
  <c r="S52" i="5"/>
  <c r="J53" i="5"/>
  <c r="J57" i="5"/>
  <c r="E66" i="5" s="1"/>
  <c r="S49" i="4"/>
  <c r="D70" i="4"/>
  <c r="K45" i="4"/>
  <c r="E64" i="4"/>
  <c r="J45" i="4"/>
  <c r="D64" i="4"/>
  <c r="K47" i="4"/>
  <c r="K52" i="4" s="1"/>
  <c r="T49" i="4"/>
  <c r="L57" i="4"/>
  <c r="L53" i="4"/>
  <c r="C64" i="4"/>
  <c r="J47" i="4"/>
  <c r="J52" i="4" s="1"/>
  <c r="J22" i="4"/>
  <c r="C7" i="2" l="1"/>
  <c r="C4" i="2"/>
  <c r="M57" i="4"/>
  <c r="M53" i="4"/>
  <c r="T63" i="8"/>
  <c r="C66" i="8"/>
  <c r="T59" i="8" s="1"/>
  <c r="T62" i="8"/>
  <c r="D66" i="8"/>
  <c r="T58" i="8" s="1"/>
  <c r="S52" i="6"/>
  <c r="E66" i="6"/>
  <c r="C66" i="6"/>
  <c r="D66" i="6"/>
  <c r="T63" i="5"/>
  <c r="T62" i="5"/>
  <c r="D66" i="5"/>
  <c r="T58" i="5" s="1"/>
  <c r="C66" i="5"/>
  <c r="T59" i="5" s="1"/>
  <c r="S59" i="4"/>
  <c r="S58" i="4"/>
  <c r="S63" i="4"/>
  <c r="J53" i="4"/>
  <c r="J57" i="4"/>
  <c r="C66" i="4" s="1"/>
  <c r="K53" i="4"/>
  <c r="K57" i="4"/>
  <c r="D72" i="4" s="1"/>
  <c r="S62" i="4"/>
  <c r="S50" i="4"/>
  <c r="T59" i="6" l="1"/>
  <c r="T58" i="6"/>
  <c r="T63" i="6"/>
  <c r="T62" i="6"/>
  <c r="S52" i="4"/>
  <c r="E66" i="4"/>
  <c r="D66" i="4"/>
  <c r="T58" i="4" l="1"/>
  <c r="T59" i="4"/>
  <c r="T63" i="4"/>
  <c r="T62" i="4"/>
  <c r="T10" i="2"/>
  <c r="T14" i="2"/>
  <c r="Y10" i="2"/>
  <c r="Y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W12" authorId="0" shapeId="0" xr:uid="{B08F1F09-AF6D-4BEB-83F1-265F9D5B0FC0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EBIT with added D&amp;A from Non-GAAP Adjustments Section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W11" authorId="0" shapeId="0" xr:uid="{C14C6B35-0989-4492-A264-19AB0E412708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EBIT with added D&amp;A from Non-GAAP Adjustments Section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W11" authorId="0" shapeId="0" xr:uid="{B9AB7471-9858-4F19-A69D-35302F05764D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EBIT with added D&amp;A from Non-GAAP Adjustments Section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 Pakel</author>
  </authors>
  <commentList>
    <comment ref="W11" authorId="0" shapeId="0" xr:uid="{AE9F55C3-434E-4610-8354-23A2BF536C03}">
      <text>
        <r>
          <rPr>
            <b/>
            <sz val="9"/>
            <color indexed="81"/>
            <rFont val="Tahoma"/>
            <family val="2"/>
          </rPr>
          <t>Brando Pakel:</t>
        </r>
        <r>
          <rPr>
            <sz val="9"/>
            <color indexed="81"/>
            <rFont val="Tahoma"/>
            <family val="2"/>
          </rPr>
          <t xml:space="preserve">
EBIT with added D&amp;A from Non-GAAP Adjustments Section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<sst xmlns="http://schemas.openxmlformats.org/spreadsheetml/2006/main" count="1069" uniqueCount="260">
  <si>
    <t>($ in millions, except per share data, unless otherwise noted in the Currency column)</t>
  </si>
  <si>
    <t>Company Choice of Valuation</t>
  </si>
  <si>
    <t>NVIDIA</t>
  </si>
  <si>
    <t>Ticker</t>
  </si>
  <si>
    <t>NVDA</t>
  </si>
  <si>
    <t>General Information</t>
  </si>
  <si>
    <t>Select Market Data</t>
  </si>
  <si>
    <t>Enterprise Value /</t>
  </si>
  <si>
    <t>Price /</t>
  </si>
  <si>
    <t xml:space="preserve">LTM Leverage Ratios </t>
  </si>
  <si>
    <t>Date of</t>
  </si>
  <si>
    <t>Price per</t>
  </si>
  <si>
    <t>52-wk.</t>
  </si>
  <si>
    <t>% 52-wk.</t>
  </si>
  <si>
    <t xml:space="preserve">Equity </t>
  </si>
  <si>
    <t>Enterprise</t>
  </si>
  <si>
    <t>LTM</t>
  </si>
  <si>
    <t>2023E</t>
  </si>
  <si>
    <t xml:space="preserve"> 2024E</t>
  </si>
  <si>
    <t>Debt /</t>
  </si>
  <si>
    <t xml:space="preserve">Debt / </t>
  </si>
  <si>
    <t xml:space="preserve">Net Debt / </t>
  </si>
  <si>
    <t>Company</t>
  </si>
  <si>
    <t>Currency</t>
  </si>
  <si>
    <t>Price</t>
  </si>
  <si>
    <t>Share</t>
  </si>
  <si>
    <t>High</t>
  </si>
  <si>
    <t>Value</t>
  </si>
  <si>
    <t>Sales</t>
  </si>
  <si>
    <t>EBITDA</t>
  </si>
  <si>
    <t>EBIT</t>
  </si>
  <si>
    <t>EPS</t>
  </si>
  <si>
    <t>Lev. FCF</t>
  </si>
  <si>
    <t>Tot. Cap.</t>
  </si>
  <si>
    <t>Nvidia Corporation</t>
  </si>
  <si>
    <t>Advanced Micro Devices, Inc.</t>
  </si>
  <si>
    <t>Intel Corporation</t>
  </si>
  <si>
    <t>QUALCOMM Incorporated</t>
  </si>
  <si>
    <t>Low</t>
  </si>
  <si>
    <t>Median</t>
  </si>
  <si>
    <t>Mean</t>
  </si>
  <si>
    <t>Mean (excl. NVDA)</t>
  </si>
  <si>
    <t>LTM Financial Statistics</t>
  </si>
  <si>
    <t>LTM Profitability Margins</t>
  </si>
  <si>
    <r>
      <t>Growth Rates</t>
    </r>
    <r>
      <rPr>
        <b/>
        <vertAlign val="superscript"/>
        <sz val="10"/>
        <color theme="0"/>
        <rFont val="Arial"/>
        <family val="2"/>
      </rPr>
      <t>(1)</t>
    </r>
  </si>
  <si>
    <t>Return on Investment</t>
  </si>
  <si>
    <t>Gross</t>
  </si>
  <si>
    <t>Net</t>
  </si>
  <si>
    <t>Implied</t>
  </si>
  <si>
    <t>FYE</t>
  </si>
  <si>
    <t>Profit</t>
  </si>
  <si>
    <t>Income</t>
  </si>
  <si>
    <t>Hist.</t>
  </si>
  <si>
    <t>Est.</t>
  </si>
  <si>
    <t>Est. LT</t>
  </si>
  <si>
    <t>ROIC</t>
  </si>
  <si>
    <t>ROE</t>
  </si>
  <si>
    <t>ROA</t>
  </si>
  <si>
    <t>Div. Yield</t>
  </si>
  <si>
    <t>Metric</t>
  </si>
  <si>
    <t>Lower Value</t>
  </si>
  <si>
    <t>Column Value</t>
  </si>
  <si>
    <t>Upper Value</t>
  </si>
  <si>
    <t>Percentiles --&gt;</t>
  </si>
  <si>
    <t>LTM EV / EBITDA</t>
  </si>
  <si>
    <t>Calendar Year 1 Forecast</t>
  </si>
  <si>
    <t>Calendar Year 2 Forecast</t>
  </si>
  <si>
    <t>LTM EV / EBIT</t>
  </si>
  <si>
    <t>EV / Revenues</t>
  </si>
  <si>
    <t>EV / EBITDA</t>
  </si>
  <si>
    <t>EV / EBIT</t>
  </si>
  <si>
    <t xml:space="preserve">P/E </t>
  </si>
  <si>
    <t>P/E</t>
  </si>
  <si>
    <t xml:space="preserve">LTM P/E </t>
  </si>
  <si>
    <t>1 Yr. EV / EBITDA</t>
  </si>
  <si>
    <t>1 Yr. EV / EBIT</t>
  </si>
  <si>
    <t>1 Yr. P/E</t>
  </si>
  <si>
    <t>Nvidia Metrics</t>
  </si>
  <si>
    <t>Enterprise value</t>
  </si>
  <si>
    <t>(-) Net debt</t>
  </si>
  <si>
    <t>(=) Equity value</t>
  </si>
  <si>
    <t>( / ) Shares outstanding</t>
  </si>
  <si>
    <t>(=) Share price</t>
  </si>
  <si>
    <t>Reported Income Statement</t>
  </si>
  <si>
    <t>Enterprise Value Build</t>
  </si>
  <si>
    <t>Scratch Work:</t>
  </si>
  <si>
    <t>Company Name</t>
  </si>
  <si>
    <t>Nvidia</t>
  </si>
  <si>
    <t>Prior</t>
  </si>
  <si>
    <t xml:space="preserve">Current </t>
  </si>
  <si>
    <t>Current Price per Share</t>
  </si>
  <si>
    <t>Fiscal YTD</t>
  </si>
  <si>
    <t xml:space="preserve">   % of 52-week High</t>
  </si>
  <si>
    <t>Projection Work</t>
  </si>
  <si>
    <t>LFY</t>
  </si>
  <si>
    <t>Stock Exchange</t>
  </si>
  <si>
    <t>NASDAQ</t>
  </si>
  <si>
    <t>52-week High Price</t>
  </si>
  <si>
    <t>Revenue</t>
  </si>
  <si>
    <t>Latest Fiscal Year End Date</t>
  </si>
  <si>
    <t>52-week Low Price</t>
  </si>
  <si>
    <t>COGS</t>
  </si>
  <si>
    <t>Company Reporting Currency</t>
  </si>
  <si>
    <t>USD</t>
  </si>
  <si>
    <t>Dividend Per Share (MRQ)</t>
  </si>
  <si>
    <t>Gross Profit</t>
  </si>
  <si>
    <t>Marginal Tax Rate Assumption</t>
  </si>
  <si>
    <t>Fully Diluted Shares Outstanding (FDSO)</t>
  </si>
  <si>
    <t>SG&amp;A and Other OpEx</t>
  </si>
  <si>
    <t xml:space="preserve">   Equity Value</t>
  </si>
  <si>
    <t>SGA and Other OpEx</t>
  </si>
  <si>
    <t>Select Balance Sheet Data</t>
  </si>
  <si>
    <t>Operating Income (EBIT)</t>
  </si>
  <si>
    <t>Other Expense / (Income)</t>
  </si>
  <si>
    <t>Plus: Total Debt</t>
  </si>
  <si>
    <t>Cash and Cash Equivalents</t>
  </si>
  <si>
    <t>Interest Expense / (Income)</t>
  </si>
  <si>
    <t>Plus: Preferred Stock</t>
  </si>
  <si>
    <t>Marketable / Short-Term Investments</t>
  </si>
  <si>
    <t>Pre-tax Income</t>
  </si>
  <si>
    <t>Plus: Noncontrolling Interest</t>
  </si>
  <si>
    <t>Drivers:</t>
  </si>
  <si>
    <t>Accounts Receivable</t>
  </si>
  <si>
    <t>Income Taxes</t>
  </si>
  <si>
    <t>Less: Cash and Cash Equivalents</t>
  </si>
  <si>
    <t>Revenue Growth</t>
  </si>
  <si>
    <t>Other Current Assets</t>
  </si>
  <si>
    <t>Noncontrolling Interest</t>
  </si>
  <si>
    <t xml:space="preserve">   Enterprise Value</t>
  </si>
  <si>
    <t>Gross Margin</t>
  </si>
  <si>
    <t>Total Current Assets</t>
  </si>
  <si>
    <t>Preferred Dividends / Other</t>
  </si>
  <si>
    <t>SG&amp;A/OpEx as a % of Revenue</t>
  </si>
  <si>
    <t>Net Income</t>
  </si>
  <si>
    <t>EBITDA Margin</t>
  </si>
  <si>
    <t>Property, Plant and Equipment, net</t>
  </si>
  <si>
    <t>Effective Tax Rate</t>
  </si>
  <si>
    <t>Calculation of Fully Diluted Shares Outstanding</t>
  </si>
  <si>
    <t>Goodwill and Intangible Assets</t>
  </si>
  <si>
    <t>Weighted Avg. Diluted Shares</t>
  </si>
  <si>
    <t>Basic Shares Outstanding</t>
  </si>
  <si>
    <t>Other Non-Current Assets</t>
  </si>
  <si>
    <t>Diluted EPS</t>
  </si>
  <si>
    <t>Plus: Shares from In-the-Money Options</t>
  </si>
  <si>
    <t>Total Assets</t>
  </si>
  <si>
    <t>Less: Shares Repurchased</t>
  </si>
  <si>
    <t>Non-GAAP Adjustments</t>
  </si>
  <si>
    <t xml:space="preserve">   Net New Shares from Options</t>
  </si>
  <si>
    <t>Total Current Liabilities</t>
  </si>
  <si>
    <t>Plus: Shares from Convertible Securities</t>
  </si>
  <si>
    <t>Total Debt</t>
  </si>
  <si>
    <t>Plus: Shares from Other Dilution (RSUs, SARs, ESOPs)</t>
  </si>
  <si>
    <t>Other Long-Term Liabilities</t>
  </si>
  <si>
    <t xml:space="preserve">   Fully Diluted Shares Outstanding</t>
  </si>
  <si>
    <t xml:space="preserve">Total Liabilities </t>
  </si>
  <si>
    <t>Reported Gross Profit</t>
  </si>
  <si>
    <t>Non-recurring Items in COGS</t>
  </si>
  <si>
    <t>Options/Warrants</t>
  </si>
  <si>
    <t>Adj. Gross Profit</t>
  </si>
  <si>
    <t>Number of</t>
  </si>
  <si>
    <t>Exercise</t>
  </si>
  <si>
    <t>In-the-Money</t>
  </si>
  <si>
    <t>Preferred Stock</t>
  </si>
  <si>
    <t xml:space="preserve">   % margin</t>
  </si>
  <si>
    <t>Tranche</t>
  </si>
  <si>
    <t>Shares</t>
  </si>
  <si>
    <t>Proceeds</t>
  </si>
  <si>
    <t>Shareholders' Equity</t>
  </si>
  <si>
    <t>Tranche 1</t>
  </si>
  <si>
    <t>Total Liabilities and Equity</t>
  </si>
  <si>
    <t>Reported EBIT</t>
  </si>
  <si>
    <t>Tranche 2</t>
  </si>
  <si>
    <t>Restructuring Charges</t>
  </si>
  <si>
    <t>Tranche 3</t>
  </si>
  <si>
    <t>Balance Check</t>
  </si>
  <si>
    <t>Impairment Charges</t>
  </si>
  <si>
    <t>Tranche 4</t>
  </si>
  <si>
    <t>Losses / (Gains) on Asset Sales</t>
  </si>
  <si>
    <t>Tranche 5</t>
  </si>
  <si>
    <t>Calendarization of LTM &amp; Projected Financials</t>
  </si>
  <si>
    <t>Stock-based Compensation</t>
  </si>
  <si>
    <t xml:space="preserve">   Total</t>
  </si>
  <si>
    <t>Projected FYE</t>
  </si>
  <si>
    <t>Other Non-Rec. / Non-Op. Items</t>
  </si>
  <si>
    <t>Convertible Securities</t>
  </si>
  <si>
    <t>Revenues - FY1 Est.</t>
  </si>
  <si>
    <t>Sources --&gt;</t>
  </si>
  <si>
    <t>See Scratch</t>
  </si>
  <si>
    <t>Adjusted EBIT (inc. Non-rec. COGS)</t>
  </si>
  <si>
    <t>Conversion</t>
  </si>
  <si>
    <t xml:space="preserve">Conversion </t>
  </si>
  <si>
    <t xml:space="preserve">New </t>
  </si>
  <si>
    <t>EBITDA - FY1 Est.</t>
  </si>
  <si>
    <t>Work Section</t>
  </si>
  <si>
    <t>Amount</t>
  </si>
  <si>
    <t>Ratio</t>
  </si>
  <si>
    <t>EBIT - FY1 Est.</t>
  </si>
  <si>
    <t>Issue 1</t>
  </si>
  <si>
    <t>EPS - FY1 Est.</t>
  </si>
  <si>
    <t>Depreciation &amp; Amortization</t>
  </si>
  <si>
    <t>Issue 2</t>
  </si>
  <si>
    <t>Other Non-Cash / Non-Rec. Items</t>
  </si>
  <si>
    <t>Issue 3</t>
  </si>
  <si>
    <t>Adjusted EBITDA</t>
  </si>
  <si>
    <t>Revenues - FY2 Est.</t>
  </si>
  <si>
    <t>EBITDA - FY2 Est.</t>
  </si>
  <si>
    <t>Trading Valuation Multiples</t>
  </si>
  <si>
    <t>EBIT - FY2 Est.</t>
  </si>
  <si>
    <t>Reported Net Income</t>
  </si>
  <si>
    <t>NCY</t>
  </si>
  <si>
    <t>NCY+1</t>
  </si>
  <si>
    <t>EPS - FY2 Est.</t>
  </si>
  <si>
    <t>Non-recurring Items in EBIT</t>
  </si>
  <si>
    <t>EV / Sales</t>
  </si>
  <si>
    <r>
      <t>Other Non-Cash Items</t>
    </r>
    <r>
      <rPr>
        <vertAlign val="superscript"/>
        <sz val="10"/>
        <rFont val="Arial"/>
        <family val="2"/>
      </rPr>
      <t>(3)</t>
    </r>
  </si>
  <si>
    <t>Revenues - FY3 Est.</t>
  </si>
  <si>
    <t xml:space="preserve">Tax Adjustment </t>
  </si>
  <si>
    <t>EBITDA - FY3 Est.</t>
  </si>
  <si>
    <t>Adjusted Net Income</t>
  </si>
  <si>
    <t>EBIT - FY3 Est.</t>
  </si>
  <si>
    <t>P/ Lev. FCF</t>
  </si>
  <si>
    <t>EPS - FY3 Est.</t>
  </si>
  <si>
    <t>Other Comparable Metrics</t>
  </si>
  <si>
    <t>FDSO Numerator Adjustment</t>
  </si>
  <si>
    <t>Growth Profile</t>
  </si>
  <si>
    <t>How Many Days is Fiscal Year End Before Next Calendar Year End?</t>
  </si>
  <si>
    <t>FDSO Denominator Adjustment</t>
  </si>
  <si>
    <t>How Many Days is Calendar Year End Before Fiscal Year End?</t>
  </si>
  <si>
    <t>Adjusted Diluted EPS</t>
  </si>
  <si>
    <t>Historical</t>
  </si>
  <si>
    <t>Allocate to Prior Historical Fiscal Year</t>
  </si>
  <si>
    <t>1-year</t>
  </si>
  <si>
    <t>Allocate to Current Fiscal Year</t>
  </si>
  <si>
    <t>Footnotes</t>
  </si>
  <si>
    <t>2-year CAGR</t>
  </si>
  <si>
    <t>Allocate to Next Fiscal Year</t>
  </si>
  <si>
    <t>Estimated</t>
  </si>
  <si>
    <t>Calendarized Historical Financials</t>
  </si>
  <si>
    <t>Long-term</t>
  </si>
  <si>
    <t>Select Cash Flow Statement Data</t>
  </si>
  <si>
    <t>LTM Return on Investment</t>
  </si>
  <si>
    <t>Return on Invested Capital</t>
  </si>
  <si>
    <t>Calendarized Projected Financials</t>
  </si>
  <si>
    <t>Return on Equity</t>
  </si>
  <si>
    <t>Return on Assets</t>
  </si>
  <si>
    <t>Implied Annual Dividend Per Share</t>
  </si>
  <si>
    <t xml:space="preserve">   % sales</t>
  </si>
  <si>
    <t>LTM Credit Statistics</t>
  </si>
  <si>
    <t>Cash Flow from Operations</t>
  </si>
  <si>
    <t>Debt/Total Capitalization</t>
  </si>
  <si>
    <t>Source Documents &amp; References:</t>
  </si>
  <si>
    <t>Capital Expenditures</t>
  </si>
  <si>
    <t>Total Debt/EBITDA</t>
  </si>
  <si>
    <t>Net Debt/EBITDA</t>
  </si>
  <si>
    <t>AMD</t>
  </si>
  <si>
    <t>Intel</t>
  </si>
  <si>
    <t>INTC</t>
  </si>
  <si>
    <t>SG&amp;A as a % of Revenue</t>
  </si>
  <si>
    <t>Qualcomm</t>
  </si>
  <si>
    <t>QCOM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</si>
</sst>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6">
    <numFmt numFmtId="5" formatCode="&quot;$&quot;#,##0_);\(&quot;$&quot;#,##0\)"/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0.0\x"/>
    <numFmt numFmtId="166" formatCode="#,##0.0\x_);\(#,##0.0\x\)"/>
    <numFmt numFmtId="167" formatCode="0.0\x;\ \(0.0\x\)"/>
    <numFmt numFmtId="168" formatCode="0.0\x_);\(0.0\x\);@_)"/>
    <numFmt numFmtId="169" formatCode="_(&quot;$&quot;* #,##0.0_);_(&quot;$&quot;* \(#,##0.0\);_(&quot;$&quot;* &quot;-&quot;??_);_(@_)"/>
    <numFmt numFmtId="170" formatCode="m/d;@"/>
    <numFmt numFmtId="171" formatCode="\(@\)"/>
    <numFmt numFmtId="172" formatCode="m/d/yyyy;@"/>
    <numFmt numFmtId="173" formatCode="* _(&quot;$&quot;#,##0.00_);* \(&quot;$&quot;#,##0.00\);* _(&quot;-&quot;?_);_(@_)"/>
    <numFmt numFmtId="174" formatCode="* _(#,##0%_);* \(#,##0%\);* _(&quot;-&quot;?_);_(@_)"/>
    <numFmt numFmtId="175" formatCode="yyyy\A"/>
    <numFmt numFmtId="176" formatCode="* _(#,##0.00_);* \(#,##0.00\);* _(&quot;-&quot;?_);_(@_)"/>
    <numFmt numFmtId="177" formatCode="mmm\-dd"/>
    <numFmt numFmtId="178" formatCode="* _(&quot;$&quot;##,##0_);[Red]* \(&quot;$&quot;##,##0\);* _(&quot;-&quot;?_);_(@_)"/>
    <numFmt numFmtId="179" formatCode="* _(&quot;$&quot;#,##0_);* \(&quot;$&quot;#,##0\);* _(&quot;-&quot;?_);_(@_)"/>
    <numFmt numFmtId="180" formatCode="* _(##,##0_);* \(##,##0\);* _(&quot;-&quot;?_);_(@_)"/>
    <numFmt numFmtId="181" formatCode="_(&quot;$&quot;* #,##0.0000_);_(&quot;$&quot;* \(#,##0.0000\);_(&quot;$&quot;* &quot;-&quot;??_);_(@_)"/>
    <numFmt numFmtId="182" formatCode="_(&quot;$&quot;* #,##0.0_);_(&quot;$&quot;* \(#,##0.0\);_(&quot;$&quot;* &quot;-&quot;?_);_(@_)"/>
    <numFmt numFmtId="183" formatCode="* _(##,##0.0_);* \(##,##0.0\);* _(&quot;-&quot;?_);_(@_)"/>
    <numFmt numFmtId="184" formatCode="_(* #,##0.0_);_(* \(#,##0.0\);_(* &quot;-&quot;?_);_(@_)"/>
    <numFmt numFmtId="185" formatCode="* _(##,##0.000_);* \(##,##0.000\);* _(&quot;-&quot;?_);_(@_)"/>
    <numFmt numFmtId="186" formatCode="0.0%"/>
    <numFmt numFmtId="187" formatCode="* _(#,##0_);* \(#,##0\);* _(&quot;-&quot;?_);_(@_)"/>
    <numFmt numFmtId="188" formatCode="* _(#,##0.0_);* \(#,##0.0\);* _(&quot;-&quot;?_);_(@_)"/>
    <numFmt numFmtId="189" formatCode="#,##0.0_);[Red]\(#,##0.0\)"/>
    <numFmt numFmtId="190" formatCode="* _(##,##0_);[Red]* \(##,##0\);* _(&quot;-&quot;?_);_(@_)"/>
    <numFmt numFmtId="191" formatCode="_(* #,##0_);_(* \(#,##0\);_(* &quot;-&quot;?_);_(@_)"/>
    <numFmt numFmtId="192" formatCode="_(* #,##0.000_);_(* \(#,##0.000\);_(* &quot;-&quot;???_);_(@_)"/>
    <numFmt numFmtId="193" formatCode="* _(##,##0.00_);* \(##,##0.00\);* _(&quot;-&quot;?_);_(@_)"/>
    <numFmt numFmtId="194" formatCode="_(* #,##0.00_);_(* \(#,##0.00\);_(* &quot;-&quot;?_);_(@_)"/>
    <numFmt numFmtId="195" formatCode="yyyy\E"/>
    <numFmt numFmtId="196" formatCode="_(* 0.0\x_);_(* \(0.0\x\);_(* &quot;-&quot;?_);_(@_)"/>
    <numFmt numFmtId="197" formatCode="* _(#,##0.0%_);* \(#,##0.0%\);* _(&quot;-&quot;?_);_(@_)"/>
    <numFmt numFmtId="198" formatCode="_(* #,##0_);_(* \(#,##0\);_(* &quot;-&quot;??_);_(@_)"/>
    <numFmt numFmtId="199" formatCode="* _(#,##0.0%_);* \(#,##0.0%\);* _(&quot;-&quot;??_);_(@_)"/>
    <numFmt numFmtId="200" formatCode="_(* 0.0\x_);_(* \(0.0\x\);_(* &quot;-&quot;??_);_(@_)"/>
    <numFmt numFmtId="201" formatCode="_(#,##0%_);* \(#,##0%\);* _(&quot;-&quot;?_);_(@_)"/>
    <numFmt numFmtId="202" formatCode="* _(&quot;$&quot;##,##0_);* \(&quot;$&quot;##,##0\);* _(&quot;-&quot;?_);_(@_)"/>
    <numFmt numFmtId="203" formatCode="&quot;$&quot;#,##0.00_);\(&quot;$&quot;#,##0.00\);@_)"/>
    <numFmt numFmtId="204" formatCode="&quot;$&quot;#,##0.00;\(&quot;$&quot;#,##0.00\);&quot;–&quot;;@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Times New Roman"/>
      <family val="1"/>
    </font>
    <font>
      <b/>
      <u/>
      <sz val="16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vertAlign val="superscript"/>
      <sz val="10"/>
      <color theme="0"/>
      <name val="Arial"/>
      <family val="2"/>
    </font>
    <font>
      <sz val="9"/>
      <color theme="0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color indexed="0"/>
      <name val="Helvetica"/>
    </font>
    <font>
      <i/>
      <sz val="10"/>
      <color indexed="12"/>
      <name val="Arial"/>
      <family val="2"/>
    </font>
    <font>
      <sz val="10"/>
      <color rgb="FF0000FF"/>
      <name val="Arial"/>
      <family val="2"/>
    </font>
    <font>
      <i/>
      <u/>
      <sz val="10"/>
      <name val="Arial"/>
      <family val="2"/>
    </font>
    <font>
      <i/>
      <sz val="10"/>
      <color indexed="9"/>
      <name val="Arial"/>
      <family val="2"/>
    </font>
    <font>
      <sz val="10"/>
      <color theme="1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sz val="10"/>
      <color indexed="9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u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rgb="FF08405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6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Dashed">
        <color indexed="23"/>
      </top>
      <bottom style="mediumDashed">
        <color indexed="23"/>
      </bottom>
      <diagonal/>
    </border>
    <border>
      <left/>
      <right/>
      <top style="mediumDashed">
        <color indexed="23"/>
      </top>
      <bottom style="mediumDashed">
        <color indexed="23"/>
      </bottom>
      <diagonal/>
    </border>
    <border>
      <left style="dotted">
        <color auto="1"/>
      </left>
      <right/>
      <top style="mediumDashed">
        <color indexed="23"/>
      </top>
      <bottom style="mediumDashed">
        <color indexed="23"/>
      </bottom>
      <diagonal/>
    </border>
    <border>
      <left/>
      <right style="dotted">
        <color auto="1"/>
      </right>
      <top style="mediumDashed">
        <color indexed="23"/>
      </top>
      <bottom style="mediumDashed">
        <color indexed="23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medium">
        <color auto="1"/>
      </bottom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auto="1"/>
      </top>
      <bottom/>
      <diagonal/>
    </border>
    <border>
      <left/>
      <right style="dotted">
        <color indexed="64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 style="mediumDashed">
        <color indexed="23"/>
      </top>
      <bottom/>
      <diagonal/>
    </border>
    <border>
      <left/>
      <right/>
      <top style="mediumDashed">
        <color indexed="23"/>
      </top>
      <bottom/>
      <diagonal/>
    </border>
    <border>
      <left/>
      <right style="dotted">
        <color auto="1"/>
      </right>
      <top style="mediumDashed">
        <color indexed="23"/>
      </top>
      <bottom/>
      <diagonal/>
    </border>
    <border>
      <left style="thin">
        <color indexed="64"/>
      </left>
      <right/>
      <top style="mediumDashed">
        <color indexed="23"/>
      </top>
      <bottom/>
      <diagonal/>
    </border>
    <border>
      <left style="thin">
        <color indexed="64"/>
      </left>
      <right/>
      <top/>
      <bottom style="mediumDashed">
        <color indexed="23"/>
      </bottom>
      <diagonal/>
    </border>
    <border>
      <left style="thin">
        <color indexed="64"/>
      </left>
      <right/>
      <top style="mediumDashed">
        <color theme="2" tint="-0.499984740745262"/>
      </top>
      <bottom style="mediumDashed">
        <color theme="2" tint="-0.499984740745262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indexed="64"/>
      </left>
      <right style="medium">
        <color auto="1"/>
      </right>
      <top/>
      <bottom style="thin">
        <color indexed="64"/>
      </bottom>
      <diagonal/>
    </border>
    <border>
      <left style="dotted">
        <color indexed="64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theme="1"/>
      </left>
      <right/>
      <top style="mediumDashed">
        <color rgb="FF808080"/>
      </top>
      <bottom style="mediumDashed">
        <color rgb="FF808080"/>
      </bottom>
      <diagonal/>
    </border>
    <border>
      <left/>
      <right/>
      <top style="mediumDashed">
        <color rgb="FF808080"/>
      </top>
      <bottom style="mediumDashed">
        <color rgb="FF808080"/>
      </bottom>
      <diagonal/>
    </border>
    <border>
      <left/>
      <right style="dotted">
        <color indexed="64"/>
      </right>
      <top style="mediumDashed">
        <color rgb="FF808080"/>
      </top>
      <bottom style="mediumDashed">
        <color rgb="FF808080"/>
      </bottom>
      <diagonal/>
    </border>
    <border>
      <left style="thin">
        <color auto="1"/>
      </left>
      <right/>
      <top style="mediumDashed">
        <color rgb="FF808080"/>
      </top>
      <bottom style="mediumDashed">
        <color rgb="FF808080"/>
      </bottom>
      <diagonal/>
    </border>
    <border>
      <left style="thin">
        <color auto="1"/>
      </left>
      <right/>
      <top style="mediumDashed">
        <color rgb="FF808080"/>
      </top>
      <bottom/>
      <diagonal/>
    </border>
    <border>
      <left style="thin">
        <color auto="1"/>
      </left>
      <right/>
      <top/>
      <bottom style="mediumDashed">
        <color rgb="FF808080"/>
      </bottom>
      <diagonal/>
    </border>
    <border>
      <left/>
      <right style="dotted">
        <color theme="1"/>
      </right>
      <top style="mediumDashed">
        <color indexed="23"/>
      </top>
      <bottom/>
      <diagonal/>
    </border>
    <border>
      <left/>
      <right style="dotted">
        <color theme="1"/>
      </right>
      <top style="mediumDashed">
        <color indexed="23"/>
      </top>
      <bottom style="mediumDashed">
        <color indexed="23"/>
      </bottom>
      <diagonal/>
    </border>
    <border>
      <left/>
      <right style="dotted">
        <color theme="1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  <xf numFmtId="0" fontId="5" fillId="0" borderId="0"/>
    <xf numFmtId="0" fontId="5" fillId="0" borderId="0"/>
    <xf numFmtId="0" fontId="11" fillId="0" borderId="0" applyFill="0" applyBorder="0" applyProtection="0">
      <protection locked="0"/>
    </xf>
    <xf numFmtId="9" fontId="11" fillId="0" borderId="0" applyFont="0" applyFill="0" applyBorder="0" applyAlignment="0" applyProtection="0"/>
    <xf numFmtId="0" fontId="11" fillId="0" borderId="0" applyFill="0" applyBorder="0" applyProtection="0">
      <protection locked="0"/>
    </xf>
    <xf numFmtId="0" fontId="18" fillId="0" borderId="0"/>
    <xf numFmtId="0" fontId="11" fillId="0" borderId="0"/>
    <xf numFmtId="0" fontId="11" fillId="0" borderId="0"/>
  </cellStyleXfs>
  <cellXfs count="479">
    <xf numFmtId="0" fontId="0" fillId="0" borderId="0" xfId="0"/>
    <xf numFmtId="0" fontId="0" fillId="0" borderId="0" xfId="0" applyAlignment="1">
      <alignment horizontal="centerContinuous"/>
    </xf>
    <xf numFmtId="0" fontId="6" fillId="0" borderId="0" xfId="3" applyFont="1"/>
    <xf numFmtId="0" fontId="7" fillId="0" borderId="0" xfId="3" applyFont="1"/>
    <xf numFmtId="0" fontId="8" fillId="0" borderId="0" xfId="3" applyFont="1"/>
    <xf numFmtId="0" fontId="4" fillId="0" borderId="3" xfId="2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4" borderId="4" xfId="4" applyFont="1" applyFill="1" applyBorder="1" applyAlignment="1">
      <alignment horizontal="centerContinuous"/>
    </xf>
    <xf numFmtId="0" fontId="9" fillId="4" borderId="6" xfId="3" applyFont="1" applyFill="1" applyBorder="1" applyAlignment="1">
      <alignment horizontal="centerContinuous"/>
    </xf>
    <xf numFmtId="0" fontId="9" fillId="4" borderId="7" xfId="3" applyFont="1" applyFill="1" applyBorder="1" applyAlignment="1">
      <alignment horizontal="centerContinuous"/>
    </xf>
    <xf numFmtId="0" fontId="9" fillId="4" borderId="8" xfId="3" applyFont="1" applyFill="1" applyBorder="1" applyAlignment="1">
      <alignment horizontal="centerContinuous"/>
    </xf>
    <xf numFmtId="0" fontId="9" fillId="4" borderId="8" xfId="4" applyFont="1" applyFill="1" applyBorder="1" applyAlignment="1">
      <alignment horizontal="centerContinuous"/>
    </xf>
    <xf numFmtId="0" fontId="9" fillId="4" borderId="6" xfId="4" applyFont="1" applyFill="1" applyBorder="1" applyAlignment="1">
      <alignment horizontal="centerContinuous"/>
    </xf>
    <xf numFmtId="0" fontId="9" fillId="4" borderId="7" xfId="4" applyFont="1" applyFill="1" applyBorder="1" applyAlignment="1">
      <alignment horizontal="centerContinuous"/>
    </xf>
    <xf numFmtId="0" fontId="9" fillId="4" borderId="9" xfId="3" applyFont="1" applyFill="1" applyBorder="1"/>
    <xf numFmtId="0" fontId="9" fillId="4" borderId="0" xfId="3" applyFont="1" applyFill="1" applyAlignment="1">
      <alignment horizontal="center"/>
    </xf>
    <xf numFmtId="164" fontId="9" fillId="4" borderId="10" xfId="3" applyNumberFormat="1" applyFont="1" applyFill="1" applyBorder="1" applyAlignment="1">
      <alignment horizontal="center"/>
    </xf>
    <xf numFmtId="0" fontId="9" fillId="4" borderId="11" xfId="3" applyFont="1" applyFill="1" applyBorder="1" applyAlignment="1">
      <alignment horizontal="center"/>
    </xf>
    <xf numFmtId="0" fontId="9" fillId="4" borderId="10" xfId="3" applyFont="1" applyFill="1" applyBorder="1" applyAlignment="1">
      <alignment horizontal="center"/>
    </xf>
    <xf numFmtId="0" fontId="9" fillId="4" borderId="10" xfId="5" applyFont="1" applyFill="1" applyBorder="1" applyAlignment="1">
      <alignment horizontal="center"/>
    </xf>
    <xf numFmtId="0" fontId="9" fillId="4" borderId="0" xfId="5" applyFont="1" applyFill="1" applyAlignment="1">
      <alignment horizontal="center"/>
    </xf>
    <xf numFmtId="0" fontId="9" fillId="4" borderId="12" xfId="5" applyFont="1" applyFill="1" applyBorder="1" applyAlignment="1">
      <alignment horizontal="center"/>
    </xf>
    <xf numFmtId="0" fontId="9" fillId="4" borderId="13" xfId="3" applyFont="1" applyFill="1" applyBorder="1" applyAlignment="1">
      <alignment horizontal="left"/>
    </xf>
    <xf numFmtId="0" fontId="9" fillId="4" borderId="2" xfId="3" applyFont="1" applyFill="1" applyBorder="1" applyAlignment="1">
      <alignment horizontal="center"/>
    </xf>
    <xf numFmtId="164" fontId="9" fillId="4" borderId="14" xfId="3" applyNumberFormat="1" applyFont="1" applyFill="1" applyBorder="1" applyAlignment="1">
      <alignment horizontal="center"/>
    </xf>
    <xf numFmtId="164" fontId="9" fillId="4" borderId="2" xfId="3" applyNumberFormat="1" applyFont="1" applyFill="1" applyBorder="1" applyAlignment="1">
      <alignment horizontal="center"/>
    </xf>
    <xf numFmtId="14" fontId="9" fillId="4" borderId="2" xfId="3" applyNumberFormat="1" applyFont="1" applyFill="1" applyBorder="1" applyAlignment="1">
      <alignment horizontal="center"/>
    </xf>
    <xf numFmtId="0" fontId="9" fillId="4" borderId="14" xfId="3" applyFont="1" applyFill="1" applyBorder="1" applyAlignment="1">
      <alignment horizontal="center"/>
    </xf>
    <xf numFmtId="0" fontId="9" fillId="4" borderId="14" xfId="5" applyFont="1" applyFill="1" applyBorder="1" applyAlignment="1">
      <alignment horizontal="center"/>
    </xf>
    <xf numFmtId="0" fontId="9" fillId="4" borderId="2" xfId="5" applyFont="1" applyFill="1" applyBorder="1" applyAlignment="1">
      <alignment horizontal="center"/>
    </xf>
    <xf numFmtId="0" fontId="9" fillId="4" borderId="15" xfId="5" applyFont="1" applyFill="1" applyBorder="1" applyAlignment="1">
      <alignment horizontal="center"/>
    </xf>
    <xf numFmtId="0" fontId="10" fillId="0" borderId="16" xfId="3" applyFont="1" applyBorder="1" applyAlignment="1">
      <alignment horizontal="left"/>
    </xf>
    <xf numFmtId="0" fontId="10" fillId="0" borderId="0" xfId="3" applyFont="1" applyAlignment="1">
      <alignment horizontal="center"/>
    </xf>
    <xf numFmtId="14" fontId="10" fillId="0" borderId="10" xfId="3" applyNumberFormat="1" applyFont="1" applyBorder="1" applyAlignment="1">
      <alignment horizontal="center"/>
    </xf>
    <xf numFmtId="14" fontId="10" fillId="0" borderId="0" xfId="3" applyNumberFormat="1" applyFont="1" applyAlignment="1">
      <alignment horizontal="center"/>
    </xf>
    <xf numFmtId="0" fontId="10" fillId="0" borderId="0" xfId="3" applyFont="1"/>
    <xf numFmtId="0" fontId="10" fillId="0" borderId="10" xfId="3" applyFont="1" applyBorder="1"/>
    <xf numFmtId="0" fontId="10" fillId="0" borderId="12" xfId="3" applyFont="1" applyBorder="1"/>
    <xf numFmtId="0" fontId="10" fillId="0" borderId="17" xfId="3" applyFont="1" applyBorder="1"/>
    <xf numFmtId="0" fontId="10" fillId="0" borderId="18" xfId="3" applyFont="1" applyBorder="1"/>
    <xf numFmtId="0" fontId="11" fillId="0" borderId="12" xfId="3" applyFont="1" applyBorder="1"/>
    <xf numFmtId="0" fontId="11" fillId="5" borderId="20" xfId="3" applyFont="1" applyFill="1" applyBorder="1" applyAlignment="1">
      <alignment horizontal="center"/>
    </xf>
    <xf numFmtId="9" fontId="11" fillId="5" borderId="20" xfId="3" applyNumberFormat="1" applyFont="1" applyFill="1" applyBorder="1" applyAlignment="1">
      <alignment horizontal="center"/>
    </xf>
    <xf numFmtId="0" fontId="11" fillId="0" borderId="9" xfId="3" applyFont="1" applyBorder="1"/>
    <xf numFmtId="0" fontId="11" fillId="0" borderId="0" xfId="3" applyFont="1" applyAlignment="1">
      <alignment horizontal="center"/>
    </xf>
    <xf numFmtId="9" fontId="11" fillId="0" borderId="0" xfId="3" applyNumberFormat="1" applyFont="1" applyAlignment="1">
      <alignment horizontal="center"/>
    </xf>
    <xf numFmtId="165" fontId="11" fillId="0" borderId="10" xfId="3" applyNumberFormat="1" applyFont="1" applyBorder="1" applyAlignment="1">
      <alignment horizontal="center"/>
    </xf>
    <xf numFmtId="165" fontId="11" fillId="0" borderId="0" xfId="3" applyNumberFormat="1" applyFont="1" applyAlignment="1">
      <alignment horizontal="center"/>
    </xf>
    <xf numFmtId="165" fontId="11" fillId="0" borderId="12" xfId="3" applyNumberFormat="1" applyFont="1" applyBorder="1" applyAlignment="1">
      <alignment horizontal="center"/>
    </xf>
    <xf numFmtId="0" fontId="11" fillId="0" borderId="23" xfId="3" applyFont="1" applyBorder="1"/>
    <xf numFmtId="40" fontId="11" fillId="0" borderId="24" xfId="3" applyNumberFormat="1" applyFont="1" applyBorder="1" applyAlignment="1">
      <alignment horizontal="center"/>
    </xf>
    <xf numFmtId="40" fontId="11" fillId="0" borderId="0" xfId="3" applyNumberFormat="1" applyFont="1" applyAlignment="1">
      <alignment horizontal="center"/>
    </xf>
    <xf numFmtId="38" fontId="11" fillId="0" borderId="0" xfId="3" applyNumberFormat="1" applyFont="1" applyAlignment="1">
      <alignment horizontal="center"/>
    </xf>
    <xf numFmtId="0" fontId="11" fillId="0" borderId="10" xfId="3" applyFont="1" applyBorder="1" applyAlignment="1">
      <alignment horizontal="center"/>
    </xf>
    <xf numFmtId="0" fontId="11" fillId="0" borderId="12" xfId="3" applyFont="1" applyBorder="1" applyAlignment="1">
      <alignment horizontal="center"/>
    </xf>
    <xf numFmtId="0" fontId="11" fillId="0" borderId="25" xfId="3" applyFont="1" applyBorder="1"/>
    <xf numFmtId="9" fontId="11" fillId="0" borderId="25" xfId="3" applyNumberFormat="1" applyFont="1" applyBorder="1" applyAlignment="1">
      <alignment horizontal="center"/>
    </xf>
    <xf numFmtId="4" fontId="11" fillId="0" borderId="26" xfId="3" applyNumberFormat="1" applyFont="1" applyBorder="1"/>
    <xf numFmtId="0" fontId="11" fillId="0" borderId="27" xfId="3" applyFont="1" applyBorder="1" applyAlignment="1">
      <alignment horizontal="center"/>
    </xf>
    <xf numFmtId="7" fontId="11" fillId="0" borderId="27" xfId="3" applyNumberFormat="1" applyFont="1" applyBorder="1" applyAlignment="1">
      <alignment horizontal="center"/>
    </xf>
    <xf numFmtId="9" fontId="11" fillId="0" borderId="27" xfId="3" applyNumberFormat="1" applyFont="1" applyBorder="1" applyAlignment="1">
      <alignment horizontal="center"/>
    </xf>
    <xf numFmtId="5" fontId="11" fillId="0" borderId="27" xfId="3" applyNumberFormat="1" applyFont="1" applyBorder="1" applyAlignment="1">
      <alignment horizontal="center"/>
    </xf>
    <xf numFmtId="165" fontId="11" fillId="0" borderId="28" xfId="3" applyNumberFormat="1" applyFont="1" applyBorder="1" applyAlignment="1">
      <alignment horizontal="center"/>
    </xf>
    <xf numFmtId="165" fontId="11" fillId="0" borderId="27" xfId="3" applyNumberFormat="1" applyFont="1" applyBorder="1" applyAlignment="1">
      <alignment horizontal="center"/>
    </xf>
    <xf numFmtId="165" fontId="11" fillId="0" borderId="29" xfId="3" applyNumberFormat="1" applyFont="1" applyBorder="1" applyAlignment="1">
      <alignment horizontal="center"/>
    </xf>
    <xf numFmtId="168" fontId="11" fillId="0" borderId="27" xfId="3" applyNumberFormat="1" applyFont="1" applyBorder="1" applyAlignment="1">
      <alignment horizontal="center"/>
    </xf>
    <xf numFmtId="9" fontId="11" fillId="0" borderId="28" xfId="3" applyNumberFormat="1" applyFont="1" applyBorder="1" applyAlignment="1">
      <alignment horizontal="center"/>
    </xf>
    <xf numFmtId="167" fontId="11" fillId="0" borderId="30" xfId="3" applyNumberFormat="1" applyFont="1" applyBorder="1" applyAlignment="1">
      <alignment horizontal="center"/>
    </xf>
    <xf numFmtId="4" fontId="11" fillId="0" borderId="31" xfId="7" applyNumberFormat="1" applyFont="1" applyFill="1" applyBorder="1" applyAlignment="1">
      <alignment horizontal="left"/>
    </xf>
    <xf numFmtId="169" fontId="11" fillId="0" borderId="0" xfId="3" applyNumberFormat="1" applyFont="1" applyAlignment="1">
      <alignment horizontal="center"/>
    </xf>
    <xf numFmtId="7" fontId="11" fillId="0" borderId="0" xfId="3" applyNumberFormat="1" applyFont="1" applyAlignment="1">
      <alignment horizontal="center"/>
    </xf>
    <xf numFmtId="5" fontId="11" fillId="0" borderId="0" xfId="3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9" fontId="11" fillId="0" borderId="10" xfId="3" applyNumberFormat="1" applyFont="1" applyBorder="1" applyAlignment="1">
      <alignment horizontal="center"/>
    </xf>
    <xf numFmtId="167" fontId="11" fillId="0" borderId="32" xfId="3" applyNumberFormat="1" applyFont="1" applyBorder="1" applyAlignment="1">
      <alignment horizontal="center"/>
    </xf>
    <xf numFmtId="4" fontId="10" fillId="6" borderId="31" xfId="7" applyNumberFormat="1" applyFont="1" applyFill="1" applyBorder="1" applyAlignment="1">
      <alignment horizontal="left"/>
    </xf>
    <xf numFmtId="169" fontId="11" fillId="6" borderId="0" xfId="3" applyNumberFormat="1" applyFont="1" applyFill="1" applyAlignment="1">
      <alignment horizontal="center"/>
    </xf>
    <xf numFmtId="7" fontId="10" fillId="6" borderId="0" xfId="3" applyNumberFormat="1" applyFont="1" applyFill="1" applyAlignment="1">
      <alignment horizontal="center"/>
    </xf>
    <xf numFmtId="9" fontId="11" fillId="6" borderId="0" xfId="3" applyNumberFormat="1" applyFont="1" applyFill="1" applyAlignment="1">
      <alignment horizontal="center"/>
    </xf>
    <xf numFmtId="5" fontId="10" fillId="6" borderId="0" xfId="3" applyNumberFormat="1" applyFont="1" applyFill="1" applyAlignment="1">
      <alignment horizontal="center"/>
    </xf>
    <xf numFmtId="165" fontId="10" fillId="6" borderId="10" xfId="3" applyNumberFormat="1" applyFont="1" applyFill="1" applyBorder="1" applyAlignment="1">
      <alignment horizontal="center"/>
    </xf>
    <xf numFmtId="165" fontId="10" fillId="6" borderId="0" xfId="3" applyNumberFormat="1" applyFont="1" applyFill="1" applyAlignment="1">
      <alignment horizontal="center"/>
    </xf>
    <xf numFmtId="165" fontId="10" fillId="6" borderId="12" xfId="3" applyNumberFormat="1" applyFont="1" applyFill="1" applyBorder="1" applyAlignment="1">
      <alignment horizontal="center"/>
    </xf>
    <xf numFmtId="168" fontId="10" fillId="6" borderId="0" xfId="3" applyNumberFormat="1" applyFont="1" applyFill="1" applyAlignment="1">
      <alignment horizontal="center"/>
    </xf>
    <xf numFmtId="9" fontId="10" fillId="6" borderId="10" xfId="3" applyNumberFormat="1" applyFont="1" applyFill="1" applyBorder="1" applyAlignment="1">
      <alignment horizontal="center"/>
    </xf>
    <xf numFmtId="167" fontId="10" fillId="6" borderId="32" xfId="3" applyNumberFormat="1" applyFont="1" applyFill="1" applyBorder="1" applyAlignment="1">
      <alignment horizontal="center"/>
    </xf>
    <xf numFmtId="4" fontId="8" fillId="0" borderId="33" xfId="7" applyNumberFormat="1" applyFont="1" applyFill="1" applyBorder="1" applyAlignment="1">
      <alignment horizontal="left"/>
    </xf>
    <xf numFmtId="0" fontId="11" fillId="0" borderId="34" xfId="3" applyFont="1" applyBorder="1" applyAlignment="1">
      <alignment horizontal="center"/>
    </xf>
    <xf numFmtId="7" fontId="11" fillId="0" borderId="34" xfId="3" applyNumberFormat="1" applyFont="1" applyBorder="1" applyAlignment="1">
      <alignment horizontal="center"/>
    </xf>
    <xf numFmtId="9" fontId="11" fillId="0" borderId="34" xfId="3" applyNumberFormat="1" applyFont="1" applyBorder="1" applyAlignment="1">
      <alignment horizontal="center"/>
    </xf>
    <xf numFmtId="5" fontId="11" fillId="0" borderId="34" xfId="3" applyNumberFormat="1" applyFont="1" applyBorder="1" applyAlignment="1">
      <alignment horizontal="center"/>
    </xf>
    <xf numFmtId="165" fontId="11" fillId="0" borderId="24" xfId="3" applyNumberFormat="1" applyFont="1" applyBorder="1" applyAlignment="1">
      <alignment horizontal="center"/>
    </xf>
    <xf numFmtId="165" fontId="11" fillId="0" borderId="34" xfId="3" applyNumberFormat="1" applyFont="1" applyBorder="1" applyAlignment="1">
      <alignment horizontal="center"/>
    </xf>
    <xf numFmtId="165" fontId="11" fillId="0" borderId="25" xfId="3" applyNumberFormat="1" applyFont="1" applyBorder="1" applyAlignment="1">
      <alignment horizontal="center"/>
    </xf>
    <xf numFmtId="168" fontId="11" fillId="0" borderId="34" xfId="3" applyNumberFormat="1" applyFont="1" applyBorder="1" applyAlignment="1">
      <alignment horizontal="center"/>
    </xf>
    <xf numFmtId="9" fontId="11" fillId="0" borderId="24" xfId="3" applyNumberFormat="1" applyFont="1" applyBorder="1" applyAlignment="1">
      <alignment horizontal="center"/>
    </xf>
    <xf numFmtId="167" fontId="11" fillId="0" borderId="35" xfId="3" applyNumberFormat="1" applyFont="1" applyBorder="1" applyAlignment="1">
      <alignment horizontal="center"/>
    </xf>
    <xf numFmtId="0" fontId="11" fillId="0" borderId="19" xfId="3" applyFont="1" applyBorder="1"/>
    <xf numFmtId="167" fontId="11" fillId="0" borderId="0" xfId="3" applyNumberFormat="1" applyFont="1" applyAlignment="1">
      <alignment horizontal="center"/>
    </xf>
    <xf numFmtId="4" fontId="8" fillId="0" borderId="0" xfId="7" applyNumberFormat="1" applyFont="1" applyFill="1" applyBorder="1" applyAlignment="1">
      <alignment horizontal="left"/>
    </xf>
    <xf numFmtId="0" fontId="12" fillId="4" borderId="6" xfId="3" applyFont="1" applyFill="1" applyBorder="1" applyAlignment="1">
      <alignment horizontal="centerContinuous"/>
    </xf>
    <xf numFmtId="0" fontId="14" fillId="4" borderId="16" xfId="5" applyFont="1" applyFill="1" applyBorder="1"/>
    <xf numFmtId="0" fontId="14" fillId="4" borderId="0" xfId="3" applyFont="1" applyFill="1"/>
    <xf numFmtId="0" fontId="9" fillId="4" borderId="17" xfId="5" applyFont="1" applyFill="1" applyBorder="1" applyAlignment="1">
      <alignment horizontal="center"/>
    </xf>
    <xf numFmtId="0" fontId="9" fillId="4" borderId="11" xfId="5" applyFont="1" applyFill="1" applyBorder="1" applyAlignment="1">
      <alignment horizontal="centerContinuous"/>
    </xf>
    <xf numFmtId="0" fontId="9" fillId="4" borderId="17" xfId="5" applyFont="1" applyFill="1" applyBorder="1" applyAlignment="1">
      <alignment horizontal="centerContinuous"/>
    </xf>
    <xf numFmtId="0" fontId="9" fillId="4" borderId="18" xfId="5" applyFont="1" applyFill="1" applyBorder="1" applyAlignment="1">
      <alignment horizontal="centerContinuous"/>
    </xf>
    <xf numFmtId="0" fontId="11" fillId="0" borderId="0" xfId="3" applyFont="1"/>
    <xf numFmtId="0" fontId="11" fillId="0" borderId="10" xfId="3" applyFont="1" applyBorder="1"/>
    <xf numFmtId="0" fontId="11" fillId="0" borderId="11" xfId="3" applyFont="1" applyBorder="1"/>
    <xf numFmtId="170" fontId="11" fillId="5" borderId="20" xfId="3" applyNumberFormat="1" applyFont="1" applyFill="1" applyBorder="1" applyAlignment="1">
      <alignment horizontal="center"/>
    </xf>
    <xf numFmtId="37" fontId="11" fillId="5" borderId="21" xfId="6" applyNumberFormat="1" applyFill="1" applyBorder="1" applyAlignment="1" applyProtection="1">
      <alignment horizontal="center"/>
    </xf>
    <xf numFmtId="37" fontId="11" fillId="5" borderId="20" xfId="6" applyNumberFormat="1" applyFill="1" applyBorder="1" applyAlignment="1" applyProtection="1">
      <alignment horizontal="center"/>
    </xf>
    <xf numFmtId="9" fontId="11" fillId="5" borderId="22" xfId="3" applyNumberFormat="1" applyFont="1" applyFill="1" applyBorder="1" applyAlignment="1">
      <alignment horizontal="center"/>
    </xf>
    <xf numFmtId="170" fontId="11" fillId="0" borderId="0" xfId="3" applyNumberFormat="1" applyFont="1" applyAlignment="1">
      <alignment horizontal="center"/>
    </xf>
    <xf numFmtId="37" fontId="11" fillId="0" borderId="36" xfId="6" applyNumberFormat="1" applyFill="1" applyBorder="1" applyAlignment="1" applyProtection="1">
      <alignment horizontal="center"/>
    </xf>
    <xf numFmtId="37" fontId="11" fillId="0" borderId="37" xfId="6" applyNumberFormat="1" applyFill="1" applyBorder="1" applyAlignment="1" applyProtection="1">
      <alignment horizontal="center"/>
    </xf>
    <xf numFmtId="9" fontId="11" fillId="0" borderId="12" xfId="3" applyNumberFormat="1" applyFont="1" applyBorder="1" applyAlignment="1">
      <alignment horizontal="center"/>
    </xf>
    <xf numFmtId="37" fontId="11" fillId="0" borderId="10" xfId="6" applyNumberFormat="1" applyFill="1" applyBorder="1" applyAlignment="1" applyProtection="1">
      <alignment horizontal="center"/>
    </xf>
    <xf numFmtId="37" fontId="11" fillId="0" borderId="0" xfId="6" applyNumberFormat="1" applyFill="1" applyBorder="1" applyAlignment="1" applyProtection="1">
      <alignment horizontal="center"/>
    </xf>
    <xf numFmtId="0" fontId="11" fillId="0" borderId="34" xfId="3" applyFont="1" applyBorder="1"/>
    <xf numFmtId="0" fontId="11" fillId="0" borderId="24" xfId="3" applyFont="1" applyBorder="1"/>
    <xf numFmtId="9" fontId="11" fillId="0" borderId="29" xfId="3" applyNumberFormat="1" applyFont="1" applyBorder="1" applyAlignment="1">
      <alignment horizontal="center"/>
    </xf>
    <xf numFmtId="9" fontId="11" fillId="0" borderId="30" xfId="3" applyNumberFormat="1" applyFont="1" applyBorder="1" applyAlignment="1">
      <alignment horizontal="center"/>
    </xf>
    <xf numFmtId="9" fontId="11" fillId="0" borderId="32" xfId="3" applyNumberFormat="1" applyFont="1" applyBorder="1" applyAlignment="1">
      <alignment horizontal="center"/>
    </xf>
    <xf numFmtId="9" fontId="10" fillId="6" borderId="0" xfId="3" applyNumberFormat="1" applyFont="1" applyFill="1" applyAlignment="1">
      <alignment horizontal="center"/>
    </xf>
    <xf numFmtId="9" fontId="10" fillId="6" borderId="12" xfId="3" applyNumberFormat="1" applyFont="1" applyFill="1" applyBorder="1" applyAlignment="1">
      <alignment horizontal="center"/>
    </xf>
    <xf numFmtId="9" fontId="10" fillId="6" borderId="32" xfId="3" applyNumberFormat="1" applyFont="1" applyFill="1" applyBorder="1" applyAlignment="1">
      <alignment horizontal="center"/>
    </xf>
    <xf numFmtId="9" fontId="11" fillId="0" borderId="35" xfId="3" applyNumberFormat="1" applyFont="1" applyBorder="1" applyAlignment="1">
      <alignment horizontal="center"/>
    </xf>
    <xf numFmtId="0" fontId="11" fillId="5" borderId="39" xfId="3" applyFont="1" applyFill="1" applyBorder="1"/>
    <xf numFmtId="0" fontId="11" fillId="0" borderId="40" xfId="3" applyFont="1" applyBorder="1"/>
    <xf numFmtId="0" fontId="11" fillId="0" borderId="41" xfId="3" applyFont="1" applyBorder="1"/>
    <xf numFmtId="0" fontId="15" fillId="0" borderId="0" xfId="4" applyFont="1"/>
    <xf numFmtId="0" fontId="11" fillId="0" borderId="0" xfId="0" applyFont="1"/>
    <xf numFmtId="0" fontId="10" fillId="0" borderId="0" xfId="0" applyFont="1" applyAlignment="1">
      <alignment horizontal="left"/>
    </xf>
    <xf numFmtId="171" fontId="8" fillId="0" borderId="0" xfId="4" applyNumberFormat="1" applyFont="1"/>
    <xf numFmtId="41" fontId="11" fillId="0" borderId="0" xfId="0" applyNumberFormat="1" applyFont="1"/>
    <xf numFmtId="0" fontId="9" fillId="4" borderId="4" xfId="0" applyFont="1" applyFill="1" applyBorder="1" applyAlignment="1">
      <alignment horizontal="centerContinuous"/>
    </xf>
    <xf numFmtId="0" fontId="9" fillId="4" borderId="6" xfId="0" applyFont="1" applyFill="1" applyBorder="1" applyAlignment="1">
      <alignment horizontal="centerContinuous"/>
    </xf>
    <xf numFmtId="0" fontId="9" fillId="4" borderId="5" xfId="0" applyFont="1" applyFill="1" applyBorder="1" applyAlignment="1">
      <alignment horizontal="centerContinuous"/>
    </xf>
    <xf numFmtId="0" fontId="7" fillId="7" borderId="0" xfId="0" applyFont="1" applyFill="1"/>
    <xf numFmtId="0" fontId="10" fillId="0" borderId="26" xfId="0" applyFont="1" applyBorder="1"/>
    <xf numFmtId="0" fontId="11" fillId="0" borderId="27" xfId="0" applyFont="1" applyBorder="1"/>
    <xf numFmtId="0" fontId="11" fillId="0" borderId="30" xfId="0" applyFont="1" applyBorder="1"/>
    <xf numFmtId="0" fontId="11" fillId="0" borderId="9" xfId="0" applyFont="1" applyBorder="1"/>
    <xf numFmtId="0" fontId="16" fillId="0" borderId="0" xfId="0" applyFont="1" applyAlignment="1">
      <alignment horizontal="right"/>
    </xf>
    <xf numFmtId="9" fontId="16" fillId="0" borderId="31" xfId="0" applyNumberFormat="1" applyFont="1" applyBorder="1"/>
    <xf numFmtId="0" fontId="16" fillId="0" borderId="0" xfId="0" applyFont="1"/>
    <xf numFmtId="0" fontId="11" fillId="0" borderId="32" xfId="0" applyFont="1" applyBorder="1"/>
    <xf numFmtId="172" fontId="16" fillId="8" borderId="0" xfId="3" applyNumberFormat="1" applyFont="1" applyFill="1" applyAlignment="1">
      <alignment horizontal="right"/>
    </xf>
    <xf numFmtId="173" fontId="16" fillId="8" borderId="42" xfId="6" applyNumberFormat="1" applyFont="1" applyFill="1" applyBorder="1" applyAlignment="1" applyProtection="1">
      <alignment horizontal="right"/>
    </xf>
    <xf numFmtId="43" fontId="11" fillId="0" borderId="0" xfId="0" applyNumberFormat="1" applyFont="1"/>
    <xf numFmtId="0" fontId="11" fillId="0" borderId="31" xfId="0" applyFont="1" applyBorder="1"/>
    <xf numFmtId="0" fontId="16" fillId="0" borderId="31" xfId="0" applyFont="1" applyBorder="1"/>
    <xf numFmtId="0" fontId="10" fillId="0" borderId="2" xfId="3" applyFont="1" applyBorder="1" applyAlignment="1">
      <alignment horizontal="centerContinuous"/>
    </xf>
    <xf numFmtId="0" fontId="10" fillId="0" borderId="32" xfId="3" applyFont="1" applyBorder="1" applyAlignment="1">
      <alignment horizontal="center"/>
    </xf>
    <xf numFmtId="0" fontId="8" fillId="0" borderId="9" xfId="0" applyFont="1" applyBorder="1"/>
    <xf numFmtId="0" fontId="8" fillId="0" borderId="0" xfId="0" applyFont="1"/>
    <xf numFmtId="172" fontId="8" fillId="0" borderId="0" xfId="0" applyNumberFormat="1" applyFont="1" applyAlignment="1">
      <alignment horizontal="right"/>
    </xf>
    <xf numFmtId="174" fontId="8" fillId="0" borderId="42" xfId="6" applyNumberFormat="1" applyFont="1" applyFill="1" applyBorder="1" applyAlignment="1" applyProtection="1">
      <alignment horizontal="right"/>
    </xf>
    <xf numFmtId="0" fontId="17" fillId="0" borderId="0" xfId="0" applyFont="1" applyAlignment="1">
      <alignment horizontal="left"/>
    </xf>
    <xf numFmtId="175" fontId="10" fillId="0" borderId="2" xfId="8" applyNumberFormat="1" applyFont="1" applyFill="1" applyBorder="1" applyAlignment="1" applyProtection="1">
      <alignment horizontal="center"/>
    </xf>
    <xf numFmtId="172" fontId="10" fillId="0" borderId="2" xfId="3" applyNumberFormat="1" applyFont="1" applyBorder="1" applyAlignment="1">
      <alignment horizontal="center"/>
    </xf>
    <xf numFmtId="172" fontId="17" fillId="8" borderId="2" xfId="3" applyNumberFormat="1" applyFont="1" applyFill="1" applyBorder="1" applyAlignment="1">
      <alignment horizontal="center"/>
    </xf>
    <xf numFmtId="14" fontId="10" fillId="0" borderId="43" xfId="3" applyNumberFormat="1" applyFont="1" applyBorder="1" applyAlignment="1">
      <alignment horizontal="center"/>
    </xf>
    <xf numFmtId="172" fontId="16" fillId="0" borderId="0" xfId="3" applyNumberFormat="1" applyFont="1" applyAlignment="1">
      <alignment horizontal="right"/>
    </xf>
    <xf numFmtId="176" fontId="16" fillId="8" borderId="42" xfId="6" applyNumberFormat="1" applyFont="1" applyFill="1" applyBorder="1" applyAlignment="1" applyProtection="1">
      <alignment horizontal="right"/>
    </xf>
    <xf numFmtId="177" fontId="16" fillId="0" borderId="0" xfId="0" applyNumberFormat="1" applyFont="1"/>
    <xf numFmtId="0" fontId="10" fillId="0" borderId="31" xfId="3" applyFont="1" applyBorder="1"/>
    <xf numFmtId="0" fontId="10" fillId="0" borderId="0" xfId="0" applyFont="1"/>
    <xf numFmtId="178" fontId="17" fillId="8" borderId="0" xfId="6" applyNumberFormat="1" applyFont="1" applyFill="1" applyBorder="1" applyProtection="1"/>
    <xf numFmtId="178" fontId="17" fillId="8" borderId="11" xfId="6" applyNumberFormat="1" applyFont="1" applyFill="1" applyBorder="1" applyProtection="1"/>
    <xf numFmtId="178" fontId="17" fillId="8" borderId="18" xfId="6" applyNumberFormat="1" applyFont="1" applyFill="1" applyBorder="1" applyProtection="1"/>
    <xf numFmtId="179" fontId="10" fillId="0" borderId="32" xfId="6" applyNumberFormat="1" applyFont="1" applyFill="1" applyBorder="1" applyAlignment="1" applyProtection="1">
      <alignment horizontal="right"/>
    </xf>
    <xf numFmtId="0" fontId="11" fillId="0" borderId="31" xfId="3" applyFont="1" applyBorder="1"/>
    <xf numFmtId="180" fontId="16" fillId="8" borderId="2" xfId="9" applyNumberFormat="1" applyFont="1" applyFill="1" applyBorder="1"/>
    <xf numFmtId="180" fontId="16" fillId="8" borderId="14" xfId="6" applyNumberFormat="1" applyFont="1" applyFill="1" applyBorder="1" applyProtection="1"/>
    <xf numFmtId="180" fontId="16" fillId="8" borderId="15" xfId="6" applyNumberFormat="1" applyFont="1" applyFill="1" applyBorder="1" applyProtection="1"/>
    <xf numFmtId="180" fontId="11" fillId="0" borderId="43" xfId="6" applyNumberFormat="1" applyFill="1" applyBorder="1" applyAlignment="1" applyProtection="1">
      <alignment horizontal="right"/>
    </xf>
    <xf numFmtId="41" fontId="16" fillId="0" borderId="0" xfId="3" applyNumberFormat="1" applyFont="1"/>
    <xf numFmtId="0" fontId="11" fillId="0" borderId="13" xfId="0" applyFont="1" applyBorder="1"/>
    <xf numFmtId="0" fontId="11" fillId="0" borderId="2" xfId="0" applyFont="1" applyBorder="1"/>
    <xf numFmtId="0" fontId="10" fillId="0" borderId="31" xfId="3" applyFont="1" applyBorder="1" applyAlignment="1">
      <alignment horizontal="left" indent="1"/>
    </xf>
    <xf numFmtId="179" fontId="10" fillId="0" borderId="0" xfId="6" applyNumberFormat="1" applyFont="1" applyFill="1" applyBorder="1" applyAlignment="1" applyProtection="1">
      <alignment horizontal="right"/>
    </xf>
    <xf numFmtId="179" fontId="10" fillId="0" borderId="10" xfId="6" applyNumberFormat="1" applyFont="1" applyFill="1" applyBorder="1" applyAlignment="1" applyProtection="1">
      <alignment horizontal="right"/>
    </xf>
    <xf numFmtId="179" fontId="10" fillId="0" borderId="12" xfId="6" applyNumberFormat="1" applyFont="1" applyFill="1" applyBorder="1" applyAlignment="1" applyProtection="1">
      <alignment horizontal="right"/>
    </xf>
    <xf numFmtId="0" fontId="11" fillId="0" borderId="9" xfId="10" applyBorder="1"/>
    <xf numFmtId="180" fontId="11" fillId="0" borderId="44" xfId="6" applyNumberFormat="1" applyFill="1" applyBorder="1" applyProtection="1"/>
    <xf numFmtId="165" fontId="11" fillId="0" borderId="0" xfId="0" applyNumberFormat="1" applyFont="1"/>
    <xf numFmtId="180" fontId="16" fillId="8" borderId="0" xfId="9" applyNumberFormat="1" applyFont="1" applyFill="1"/>
    <xf numFmtId="180" fontId="16" fillId="8" borderId="12" xfId="9" applyNumberFormat="1" applyFont="1" applyFill="1" applyBorder="1"/>
    <xf numFmtId="180" fontId="16" fillId="8" borderId="10" xfId="6" applyNumberFormat="1" applyFont="1" applyFill="1" applyBorder="1" applyProtection="1"/>
    <xf numFmtId="180" fontId="16" fillId="8" borderId="12" xfId="6" applyNumberFormat="1" applyFont="1" applyFill="1" applyBorder="1" applyProtection="1"/>
    <xf numFmtId="180" fontId="11" fillId="0" borderId="32" xfId="6" applyNumberFormat="1" applyFill="1" applyBorder="1" applyAlignment="1" applyProtection="1">
      <alignment horizontal="right"/>
    </xf>
    <xf numFmtId="0" fontId="10" fillId="0" borderId="9" xfId="0" applyFont="1" applyBorder="1"/>
    <xf numFmtId="179" fontId="10" fillId="0" borderId="42" xfId="6" applyNumberFormat="1" applyFont="1" applyFill="1" applyBorder="1" applyProtection="1"/>
    <xf numFmtId="180" fontId="11" fillId="0" borderId="0" xfId="0" applyNumberFormat="1" applyFont="1"/>
    <xf numFmtId="179" fontId="10" fillId="0" borderId="17" xfId="6" applyNumberFormat="1" applyFont="1" applyFill="1" applyBorder="1" applyAlignment="1" applyProtection="1">
      <alignment horizontal="right"/>
    </xf>
    <xf numFmtId="179" fontId="10" fillId="0" borderId="11" xfId="6" applyNumberFormat="1" applyFont="1" applyFill="1" applyBorder="1" applyAlignment="1" applyProtection="1">
      <alignment horizontal="right"/>
    </xf>
    <xf numFmtId="179" fontId="10" fillId="0" borderId="18" xfId="6" applyNumberFormat="1" applyFont="1" applyFill="1" applyBorder="1" applyAlignment="1" applyProtection="1">
      <alignment horizontal="right"/>
    </xf>
    <xf numFmtId="179" fontId="10" fillId="0" borderId="45" xfId="6" applyNumberFormat="1" applyFont="1" applyFill="1" applyBorder="1" applyAlignment="1" applyProtection="1">
      <alignment horizontal="right"/>
    </xf>
    <xf numFmtId="0" fontId="11" fillId="0" borderId="42" xfId="0" applyFont="1" applyBorder="1"/>
    <xf numFmtId="181" fontId="11" fillId="0" borderId="0" xfId="0" applyNumberFormat="1" applyFont="1"/>
    <xf numFmtId="179" fontId="11" fillId="0" borderId="31" xfId="0" applyNumberFormat="1" applyFont="1" applyBorder="1"/>
    <xf numFmtId="0" fontId="11" fillId="9" borderId="9" xfId="0" applyFont="1" applyFill="1" applyBorder="1"/>
    <xf numFmtId="0" fontId="11" fillId="9" borderId="0" xfId="0" applyFont="1" applyFill="1"/>
    <xf numFmtId="175" fontId="10" fillId="9" borderId="2" xfId="8" applyNumberFormat="1" applyFont="1" applyFill="1" applyBorder="1" applyAlignment="1" applyProtection="1">
      <alignment horizontal="center"/>
    </xf>
    <xf numFmtId="172" fontId="10" fillId="9" borderId="44" xfId="3" applyNumberFormat="1" applyFont="1" applyFill="1" applyBorder="1" applyAlignment="1">
      <alignment horizontal="center"/>
    </xf>
    <xf numFmtId="180" fontId="16" fillId="8" borderId="0" xfId="6" applyNumberFormat="1" applyFont="1" applyFill="1" applyBorder="1" applyAlignment="1" applyProtection="1">
      <alignment horizontal="right"/>
    </xf>
    <xf numFmtId="180" fontId="16" fillId="8" borderId="10" xfId="6" applyNumberFormat="1" applyFont="1" applyFill="1" applyBorder="1" applyAlignment="1" applyProtection="1">
      <alignment horizontal="right"/>
    </xf>
    <xf numFmtId="180" fontId="16" fillId="8" borderId="12" xfId="6" applyNumberFormat="1" applyFont="1" applyFill="1" applyBorder="1" applyAlignment="1" applyProtection="1">
      <alignment horizontal="right"/>
    </xf>
    <xf numFmtId="180" fontId="11" fillId="0" borderId="42" xfId="6" applyNumberFormat="1" applyFill="1" applyBorder="1" applyProtection="1"/>
    <xf numFmtId="182" fontId="16" fillId="9" borderId="0" xfId="3" applyNumberFormat="1" applyFont="1" applyFill="1"/>
    <xf numFmtId="179" fontId="16" fillId="8" borderId="0" xfId="6" applyNumberFormat="1" applyFont="1" applyFill="1" applyBorder="1" applyAlignment="1" applyProtection="1">
      <alignment horizontal="right"/>
    </xf>
    <xf numFmtId="179" fontId="16" fillId="8" borderId="42" xfId="6" applyNumberFormat="1" applyFont="1" applyFill="1" applyBorder="1" applyProtection="1"/>
    <xf numFmtId="180" fontId="16" fillId="8" borderId="2" xfId="6" applyNumberFormat="1" applyFont="1" applyFill="1" applyBorder="1" applyAlignment="1" applyProtection="1">
      <alignment horizontal="right"/>
    </xf>
    <xf numFmtId="180" fontId="16" fillId="8" borderId="14" xfId="6" applyNumberFormat="1" applyFont="1" applyFill="1" applyBorder="1" applyAlignment="1" applyProtection="1">
      <alignment horizontal="right"/>
    </xf>
    <xf numFmtId="180" fontId="16" fillId="8" borderId="15" xfId="6" applyNumberFormat="1" applyFont="1" applyFill="1" applyBorder="1" applyAlignment="1" applyProtection="1">
      <alignment horizontal="right"/>
    </xf>
    <xf numFmtId="183" fontId="11" fillId="0" borderId="42" xfId="6" applyNumberFormat="1" applyFill="1" applyBorder="1" applyProtection="1"/>
    <xf numFmtId="0" fontId="11" fillId="9" borderId="9" xfId="8" applyFill="1" applyBorder="1" applyProtection="1"/>
    <xf numFmtId="184" fontId="16" fillId="9" borderId="0" xfId="0" applyNumberFormat="1" applyFont="1" applyFill="1"/>
    <xf numFmtId="180" fontId="16" fillId="8" borderId="42" xfId="6" applyNumberFormat="1" applyFont="1" applyFill="1" applyBorder="1" applyProtection="1"/>
    <xf numFmtId="0" fontId="11" fillId="0" borderId="31" xfId="10" applyBorder="1"/>
    <xf numFmtId="182" fontId="10" fillId="9" borderId="0" xfId="0" applyNumberFormat="1" applyFont="1" applyFill="1"/>
    <xf numFmtId="180" fontId="16" fillId="8" borderId="44" xfId="6" applyNumberFormat="1" applyFont="1" applyFill="1" applyBorder="1" applyProtection="1"/>
    <xf numFmtId="180" fontId="11" fillId="0" borderId="32" xfId="6" applyNumberFormat="1" applyFill="1" applyBorder="1" applyProtection="1"/>
    <xf numFmtId="179" fontId="10" fillId="0" borderId="5" xfId="6" applyNumberFormat="1" applyFont="1" applyFill="1" applyBorder="1" applyProtection="1"/>
    <xf numFmtId="0" fontId="10" fillId="9" borderId="9" xfId="8" applyFont="1" applyFill="1" applyBorder="1" applyAlignment="1" applyProtection="1">
      <alignment horizontal="left" indent="1"/>
    </xf>
    <xf numFmtId="179" fontId="10" fillId="9" borderId="0" xfId="6" applyNumberFormat="1" applyFont="1" applyFill="1" applyBorder="1" applyAlignment="1" applyProtection="1">
      <alignment horizontal="right"/>
    </xf>
    <xf numFmtId="179" fontId="10" fillId="9" borderId="42" xfId="6" applyNumberFormat="1" applyFont="1" applyFill="1" applyBorder="1" applyAlignment="1" applyProtection="1">
      <alignment horizontal="right"/>
    </xf>
    <xf numFmtId="0" fontId="11" fillId="0" borderId="44" xfId="0" applyFont="1" applyBorder="1"/>
    <xf numFmtId="0" fontId="11" fillId="9" borderId="42" xfId="0" applyFont="1" applyFill="1" applyBorder="1"/>
    <xf numFmtId="179" fontId="10" fillId="0" borderId="46" xfId="6" applyNumberFormat="1" applyFont="1" applyFill="1" applyBorder="1" applyAlignment="1" applyProtection="1">
      <alignment horizontal="right"/>
    </xf>
    <xf numFmtId="179" fontId="10" fillId="0" borderId="47" xfId="6" applyNumberFormat="1" applyFont="1" applyFill="1" applyBorder="1" applyAlignment="1" applyProtection="1">
      <alignment horizontal="right"/>
    </xf>
    <xf numFmtId="179" fontId="10" fillId="0" borderId="48" xfId="6" applyNumberFormat="1" applyFont="1" applyFill="1" applyBorder="1" applyAlignment="1" applyProtection="1">
      <alignment horizontal="right"/>
    </xf>
    <xf numFmtId="179" fontId="10" fillId="0" borderId="49" xfId="6" applyNumberFormat="1" applyFont="1" applyFill="1" applyBorder="1" applyAlignment="1" applyProtection="1">
      <alignment horizontal="right"/>
    </xf>
    <xf numFmtId="184" fontId="16" fillId="9" borderId="0" xfId="3" applyNumberFormat="1" applyFont="1" applyFill="1"/>
    <xf numFmtId="0" fontId="8" fillId="0" borderId="31" xfId="0" applyFont="1" applyBorder="1" applyAlignment="1">
      <alignment horizontal="left" indent="1"/>
    </xf>
    <xf numFmtId="9" fontId="8" fillId="0" borderId="0" xfId="0" applyNumberFormat="1" applyFont="1" applyAlignment="1">
      <alignment horizontal="right"/>
    </xf>
    <xf numFmtId="9" fontId="8" fillId="0" borderId="50" xfId="0" applyNumberFormat="1" applyFont="1" applyBorder="1" applyAlignment="1">
      <alignment horizontal="right"/>
    </xf>
    <xf numFmtId="9" fontId="8" fillId="0" borderId="51" xfId="0" applyNumberFormat="1" applyFont="1" applyBorder="1" applyAlignment="1">
      <alignment horizontal="right"/>
    </xf>
    <xf numFmtId="180" fontId="16" fillId="8" borderId="42" xfId="6" applyNumberFormat="1" applyFont="1" applyFill="1" applyBorder="1" applyAlignment="1" applyProtection="1">
      <alignment horizontal="right"/>
    </xf>
    <xf numFmtId="0" fontId="11" fillId="0" borderId="9" xfId="8" applyFill="1" applyBorder="1" applyProtection="1"/>
    <xf numFmtId="0" fontId="11" fillId="0" borderId="0" xfId="8" applyFill="1" applyBorder="1" applyProtection="1"/>
    <xf numFmtId="180" fontId="16" fillId="8" borderId="44" xfId="6" applyNumberFormat="1" applyFont="1" applyFill="1" applyBorder="1" applyAlignment="1" applyProtection="1">
      <alignment horizontal="right"/>
    </xf>
    <xf numFmtId="0" fontId="10" fillId="0" borderId="52" xfId="3" applyFont="1" applyBorder="1" applyAlignment="1">
      <alignment horizontal="left" indent="1"/>
    </xf>
    <xf numFmtId="0" fontId="10" fillId="0" borderId="2" xfId="0" applyFont="1" applyBorder="1"/>
    <xf numFmtId="173" fontId="10" fillId="0" borderId="2" xfId="6" applyNumberFormat="1" applyFont="1" applyFill="1" applyBorder="1" applyAlignment="1" applyProtection="1">
      <alignment horizontal="right"/>
    </xf>
    <xf numFmtId="173" fontId="10" fillId="0" borderId="14" xfId="6" applyNumberFormat="1" applyFont="1" applyFill="1" applyBorder="1" applyAlignment="1" applyProtection="1">
      <alignment horizontal="right"/>
    </xf>
    <xf numFmtId="173" fontId="10" fillId="0" borderId="15" xfId="6" applyNumberFormat="1" applyFont="1" applyFill="1" applyBorder="1" applyAlignment="1" applyProtection="1">
      <alignment horizontal="right"/>
    </xf>
    <xf numFmtId="173" fontId="10" fillId="0" borderId="43" xfId="6" applyNumberFormat="1" applyFont="1" applyFill="1" applyBorder="1" applyAlignment="1" applyProtection="1">
      <alignment horizontal="right"/>
    </xf>
    <xf numFmtId="179" fontId="10" fillId="9" borderId="2" xfId="6" applyNumberFormat="1" applyFont="1" applyFill="1" applyBorder="1" applyAlignment="1" applyProtection="1">
      <alignment horizontal="right"/>
    </xf>
    <xf numFmtId="179" fontId="10" fillId="9" borderId="44" xfId="6" applyNumberFormat="1" applyFont="1" applyFill="1" applyBorder="1" applyAlignment="1" applyProtection="1">
      <alignment horizontal="right"/>
    </xf>
    <xf numFmtId="0" fontId="11" fillId="0" borderId="52" xfId="0" applyFont="1" applyBorder="1"/>
    <xf numFmtId="0" fontId="11" fillId="0" borderId="43" xfId="0" applyFont="1" applyBorder="1"/>
    <xf numFmtId="0" fontId="10" fillId="0" borderId="9" xfId="8" applyFont="1" applyFill="1" applyBorder="1" applyProtection="1"/>
    <xf numFmtId="0" fontId="10" fillId="0" borderId="0" xfId="8" applyFont="1" applyFill="1" applyBorder="1" applyProtection="1"/>
    <xf numFmtId="180" fontId="10" fillId="0" borderId="53" xfId="6" applyNumberFormat="1" applyFont="1" applyFill="1" applyBorder="1" applyProtection="1"/>
    <xf numFmtId="0" fontId="11" fillId="9" borderId="9" xfId="8" applyFill="1" applyBorder="1" applyAlignment="1" applyProtection="1">
      <alignment horizontal="left"/>
    </xf>
    <xf numFmtId="180" fontId="20" fillId="8" borderId="0" xfId="6" applyNumberFormat="1" applyFont="1" applyFill="1" applyBorder="1" applyAlignment="1" applyProtection="1">
      <alignment horizontal="right"/>
    </xf>
    <xf numFmtId="180" fontId="20" fillId="8" borderId="42" xfId="6" applyNumberFormat="1" applyFont="1" applyFill="1" applyBorder="1" applyAlignment="1" applyProtection="1">
      <alignment horizontal="right"/>
    </xf>
    <xf numFmtId="184" fontId="11" fillId="0" borderId="0" xfId="0" applyNumberFormat="1" applyFont="1"/>
    <xf numFmtId="185" fontId="11" fillId="0" borderId="42" xfId="6" applyNumberFormat="1" applyFill="1" applyBorder="1" applyProtection="1"/>
    <xf numFmtId="186" fontId="11" fillId="9" borderId="0" xfId="1" applyNumberFormat="1" applyFont="1" applyFill="1" applyBorder="1" applyAlignment="1"/>
    <xf numFmtId="0" fontId="10" fillId="0" borderId="31" xfId="0" applyFont="1" applyBorder="1" applyAlignment="1">
      <alignment horizontal="left"/>
    </xf>
    <xf numFmtId="180" fontId="10" fillId="0" borderId="44" xfId="6" applyNumberFormat="1" applyFont="1" applyFill="1" applyBorder="1" applyProtection="1"/>
    <xf numFmtId="179" fontId="11" fillId="0" borderId="0" xfId="6" applyNumberFormat="1" applyFill="1" applyBorder="1" applyAlignment="1" applyProtection="1">
      <alignment horizontal="right"/>
    </xf>
    <xf numFmtId="179" fontId="11" fillId="0" borderId="10" xfId="6" applyNumberFormat="1" applyFill="1" applyBorder="1" applyAlignment="1" applyProtection="1">
      <alignment horizontal="right"/>
    </xf>
    <xf numFmtId="179" fontId="11" fillId="0" borderId="12" xfId="6" applyNumberFormat="1" applyFill="1" applyBorder="1" applyAlignment="1" applyProtection="1">
      <alignment horizontal="right"/>
    </xf>
    <xf numFmtId="179" fontId="11" fillId="0" borderId="32" xfId="6" applyNumberFormat="1" applyFill="1" applyBorder="1" applyAlignment="1" applyProtection="1">
      <alignment horizontal="right"/>
    </xf>
    <xf numFmtId="179" fontId="11" fillId="9" borderId="0" xfId="0" applyNumberFormat="1" applyFont="1" applyFill="1"/>
    <xf numFmtId="179" fontId="11" fillId="9" borderId="42" xfId="0" applyNumberFormat="1" applyFont="1" applyFill="1" applyBorder="1"/>
    <xf numFmtId="0" fontId="11" fillId="0" borderId="0" xfId="0" quotePrefix="1" applyFont="1"/>
    <xf numFmtId="0" fontId="21" fillId="0" borderId="9" xfId="8" applyFont="1" applyFill="1" applyBorder="1" applyAlignment="1" applyProtection="1">
      <alignment horizontal="left"/>
    </xf>
    <xf numFmtId="0" fontId="11" fillId="0" borderId="0" xfId="8" applyFill="1" applyBorder="1" applyAlignment="1" applyProtection="1">
      <alignment horizontal="left"/>
    </xf>
    <xf numFmtId="0" fontId="11" fillId="0" borderId="42" xfId="8" applyFill="1" applyBorder="1" applyAlignment="1" applyProtection="1">
      <alignment horizontal="left"/>
    </xf>
    <xf numFmtId="0" fontId="11" fillId="9" borderId="9" xfId="10" applyFill="1" applyBorder="1"/>
    <xf numFmtId="184" fontId="11" fillId="9" borderId="0" xfId="3" applyNumberFormat="1" applyFont="1" applyFill="1"/>
    <xf numFmtId="0" fontId="10" fillId="0" borderId="9" xfId="3" applyFont="1" applyBorder="1" applyAlignment="1">
      <alignment horizontal="center"/>
    </xf>
    <xf numFmtId="0" fontId="10" fillId="0" borderId="42" xfId="3" applyFont="1" applyBorder="1" applyAlignment="1">
      <alignment horizontal="center"/>
    </xf>
    <xf numFmtId="0" fontId="22" fillId="7" borderId="0" xfId="0" applyFont="1" applyFill="1"/>
    <xf numFmtId="0" fontId="8" fillId="0" borderId="31" xfId="0" applyFont="1" applyBorder="1"/>
    <xf numFmtId="174" fontId="8" fillId="0" borderId="0" xfId="6" applyNumberFormat="1" applyFont="1" applyFill="1" applyBorder="1" applyAlignment="1" applyProtection="1">
      <alignment horizontal="right"/>
    </xf>
    <xf numFmtId="174" fontId="8" fillId="0" borderId="10" xfId="6" applyNumberFormat="1" applyFont="1" applyFill="1" applyBorder="1" applyAlignment="1" applyProtection="1">
      <alignment horizontal="right"/>
    </xf>
    <xf numFmtId="174" fontId="8" fillId="0" borderId="12" xfId="6" applyNumberFormat="1" applyFont="1" applyFill="1" applyBorder="1" applyAlignment="1" applyProtection="1">
      <alignment horizontal="right"/>
    </xf>
    <xf numFmtId="174" fontId="8" fillId="0" borderId="32" xfId="6" applyNumberFormat="1" applyFont="1" applyFill="1" applyBorder="1" applyAlignment="1" applyProtection="1">
      <alignment horizontal="right"/>
    </xf>
    <xf numFmtId="14" fontId="10" fillId="0" borderId="13" xfId="3" applyNumberFormat="1" applyFont="1" applyBorder="1" applyAlignment="1">
      <alignment horizontal="center"/>
    </xf>
    <xf numFmtId="14" fontId="10" fillId="0" borderId="2" xfId="3" applyNumberFormat="1" applyFont="1" applyBorder="1" applyAlignment="1">
      <alignment horizontal="center"/>
    </xf>
    <xf numFmtId="14" fontId="10" fillId="0" borderId="44" xfId="3" applyNumberFormat="1" applyFont="1" applyBorder="1" applyAlignment="1">
      <alignment horizontal="center"/>
    </xf>
    <xf numFmtId="182" fontId="11" fillId="9" borderId="0" xfId="0" applyNumberFormat="1" applyFont="1" applyFill="1"/>
    <xf numFmtId="0" fontId="11" fillId="0" borderId="0" xfId="0" applyFont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11" fillId="0" borderId="32" xfId="0" applyFont="1" applyBorder="1" applyAlignment="1">
      <alignment horizontal="right"/>
    </xf>
    <xf numFmtId="180" fontId="16" fillId="8" borderId="0" xfId="6" applyNumberFormat="1" applyFont="1" applyFill="1" applyBorder="1" applyProtection="1"/>
    <xf numFmtId="173" fontId="16" fillId="8" borderId="0" xfId="6" applyNumberFormat="1" applyFont="1" applyFill="1" applyBorder="1" applyProtection="1"/>
    <xf numFmtId="180" fontId="11" fillId="0" borderId="0" xfId="6" applyNumberFormat="1" applyFill="1" applyBorder="1" applyProtection="1"/>
    <xf numFmtId="179" fontId="11" fillId="0" borderId="42" xfId="6" applyNumberFormat="1" applyFill="1" applyBorder="1" applyProtection="1"/>
    <xf numFmtId="176" fontId="16" fillId="8" borderId="0" xfId="6" applyNumberFormat="1" applyFont="1" applyFill="1" applyBorder="1" applyProtection="1"/>
    <xf numFmtId="187" fontId="11" fillId="0" borderId="42" xfId="6" applyNumberFormat="1" applyFill="1" applyBorder="1" applyProtection="1"/>
    <xf numFmtId="188" fontId="11" fillId="0" borderId="42" xfId="6" applyNumberFormat="1" applyFill="1" applyBorder="1" applyProtection="1"/>
    <xf numFmtId="0" fontId="8" fillId="9" borderId="13" xfId="8" applyFont="1" applyFill="1" applyBorder="1" applyProtection="1"/>
    <xf numFmtId="184" fontId="8" fillId="9" borderId="2" xfId="3" applyNumberFormat="1" applyFont="1" applyFill="1" applyBorder="1"/>
    <xf numFmtId="189" fontId="8" fillId="9" borderId="2" xfId="8" applyNumberFormat="1" applyFont="1" applyFill="1" applyBorder="1" applyProtection="1"/>
    <xf numFmtId="189" fontId="8" fillId="9" borderId="44" xfId="8" applyNumberFormat="1" applyFont="1" applyFill="1" applyBorder="1" applyProtection="1"/>
    <xf numFmtId="190" fontId="11" fillId="0" borderId="32" xfId="6" applyNumberFormat="1" applyFill="1" applyBorder="1" applyAlignment="1" applyProtection="1">
      <alignment horizontal="right"/>
    </xf>
    <xf numFmtId="0" fontId="11" fillId="0" borderId="0" xfId="0" quotePrefix="1" applyFont="1" applyAlignment="1">
      <alignment horizontal="left"/>
    </xf>
    <xf numFmtId="180" fontId="16" fillId="8" borderId="2" xfId="6" applyNumberFormat="1" applyFont="1" applyFill="1" applyBorder="1" applyProtection="1"/>
    <xf numFmtId="176" fontId="16" fillId="8" borderId="2" xfId="6" applyNumberFormat="1" applyFont="1" applyFill="1" applyBorder="1" applyProtection="1"/>
    <xf numFmtId="180" fontId="11" fillId="0" borderId="2" xfId="6" applyNumberFormat="1" applyFill="1" applyBorder="1" applyProtection="1"/>
    <xf numFmtId="188" fontId="11" fillId="0" borderId="44" xfId="6" applyNumberFormat="1" applyFill="1" applyBorder="1" applyProtection="1"/>
    <xf numFmtId="191" fontId="11" fillId="0" borderId="0" xfId="3" applyNumberFormat="1" applyFont="1" applyAlignment="1">
      <alignment horizontal="right"/>
    </xf>
    <xf numFmtId="191" fontId="11" fillId="0" borderId="10" xfId="3" applyNumberFormat="1" applyFont="1" applyBorder="1" applyAlignment="1">
      <alignment horizontal="right"/>
    </xf>
    <xf numFmtId="191" fontId="11" fillId="0" borderId="12" xfId="3" applyNumberFormat="1" applyFont="1" applyBorder="1" applyAlignment="1">
      <alignment horizontal="right"/>
    </xf>
    <xf numFmtId="191" fontId="11" fillId="0" borderId="32" xfId="3" applyNumberFormat="1" applyFont="1" applyBorder="1" applyAlignment="1">
      <alignment horizontal="right"/>
    </xf>
    <xf numFmtId="0" fontId="10" fillId="0" borderId="9" xfId="3" applyFont="1" applyBorder="1"/>
    <xf numFmtId="180" fontId="10" fillId="0" borderId="0" xfId="6" applyNumberFormat="1" applyFont="1" applyFill="1" applyBorder="1" applyProtection="1"/>
    <xf numFmtId="184" fontId="10" fillId="0" borderId="0" xfId="3" applyNumberFormat="1" applyFont="1"/>
    <xf numFmtId="0" fontId="23" fillId="0" borderId="9" xfId="0" applyFont="1" applyBorder="1"/>
    <xf numFmtId="164" fontId="10" fillId="0" borderId="44" xfId="0" applyNumberFormat="1" applyFont="1" applyBorder="1" applyAlignment="1">
      <alignment horizontal="center"/>
    </xf>
    <xf numFmtId="192" fontId="11" fillId="0" borderId="0" xfId="0" applyNumberFormat="1" applyFont="1"/>
    <xf numFmtId="180" fontId="11" fillId="0" borderId="54" xfId="6" applyNumberFormat="1" applyFill="1" applyBorder="1" applyProtection="1"/>
    <xf numFmtId="0" fontId="20" fillId="8" borderId="0" xfId="0" applyFont="1" applyFill="1"/>
    <xf numFmtId="0" fontId="11" fillId="0" borderId="9" xfId="11" applyBorder="1"/>
    <xf numFmtId="0" fontId="10" fillId="0" borderId="0" xfId="5" applyFont="1" applyAlignment="1">
      <alignment horizontal="center"/>
    </xf>
    <xf numFmtId="0" fontId="10" fillId="0" borderId="42" xfId="5" applyFont="1" applyBorder="1" applyAlignment="1">
      <alignment horizontal="center"/>
    </xf>
    <xf numFmtId="0" fontId="11" fillId="8" borderId="0" xfId="0" applyFont="1" applyFill="1"/>
    <xf numFmtId="0" fontId="10" fillId="0" borderId="2" xfId="5" applyFont="1" applyBorder="1" applyAlignment="1">
      <alignment horizontal="center"/>
    </xf>
    <xf numFmtId="0" fontId="10" fillId="0" borderId="44" xfId="5" applyFont="1" applyBorder="1" applyAlignment="1">
      <alignment horizontal="center"/>
    </xf>
    <xf numFmtId="188" fontId="11" fillId="0" borderId="0" xfId="6" applyNumberFormat="1" applyFill="1" applyBorder="1" applyProtection="1"/>
    <xf numFmtId="193" fontId="16" fillId="8" borderId="42" xfId="6" applyNumberFormat="1" applyFont="1" applyFill="1" applyBorder="1" applyAlignment="1" applyProtection="1">
      <alignment horizontal="right"/>
    </xf>
    <xf numFmtId="190" fontId="11" fillId="0" borderId="43" xfId="6" applyNumberFormat="1" applyFill="1" applyBorder="1" applyAlignment="1" applyProtection="1">
      <alignment horizontal="right"/>
    </xf>
    <xf numFmtId="0" fontId="10" fillId="0" borderId="13" xfId="3" applyFont="1" applyBorder="1"/>
    <xf numFmtId="184" fontId="11" fillId="0" borderId="2" xfId="3" applyNumberFormat="1" applyFont="1" applyBorder="1"/>
    <xf numFmtId="194" fontId="11" fillId="0" borderId="2" xfId="3" applyNumberFormat="1" applyFont="1" applyBorder="1"/>
    <xf numFmtId="185" fontId="10" fillId="0" borderId="5" xfId="6" applyNumberFormat="1" applyFont="1" applyFill="1" applyBorder="1" applyProtection="1"/>
    <xf numFmtId="0" fontId="11" fillId="0" borderId="0" xfId="11"/>
    <xf numFmtId="188" fontId="16" fillId="0" borderId="0" xfId="6" applyNumberFormat="1" applyFont="1" applyFill="1" applyBorder="1" applyProtection="1"/>
    <xf numFmtId="176" fontId="16" fillId="0" borderId="0" xfId="6" applyNumberFormat="1" applyFont="1" applyFill="1" applyBorder="1" applyProtection="1"/>
    <xf numFmtId="0" fontId="11" fillId="0" borderId="12" xfId="0" applyFont="1" applyBorder="1"/>
    <xf numFmtId="190" fontId="11" fillId="0" borderId="0" xfId="6" applyNumberFormat="1" applyFill="1" applyBorder="1" applyAlignment="1" applyProtection="1">
      <alignment horizontal="right"/>
    </xf>
    <xf numFmtId="190" fontId="11" fillId="0" borderId="10" xfId="6" applyNumberFormat="1" applyFill="1" applyBorder="1" applyAlignment="1" applyProtection="1">
      <alignment horizontal="right"/>
    </xf>
    <xf numFmtId="190" fontId="11" fillId="0" borderId="12" xfId="6" applyNumberFormat="1" applyFill="1" applyBorder="1" applyAlignment="1" applyProtection="1">
      <alignment horizontal="right"/>
    </xf>
    <xf numFmtId="195" fontId="10" fillId="0" borderId="2" xfId="3" applyNumberFormat="1" applyFont="1" applyBorder="1" applyAlignment="1">
      <alignment horizontal="center"/>
    </xf>
    <xf numFmtId="195" fontId="10" fillId="0" borderId="44" xfId="3" applyNumberFormat="1" applyFont="1" applyBorder="1" applyAlignment="1">
      <alignment horizontal="center"/>
    </xf>
    <xf numFmtId="180" fontId="11" fillId="0" borderId="12" xfId="6" applyNumberFormat="1" applyFill="1" applyBorder="1" applyProtection="1"/>
    <xf numFmtId="180" fontId="11" fillId="0" borderId="55" xfId="6" applyNumberFormat="1" applyFill="1" applyBorder="1" applyProtection="1"/>
    <xf numFmtId="196" fontId="11" fillId="0" borderId="0" xfId="0" applyNumberFormat="1" applyFont="1" applyAlignment="1">
      <alignment horizontal="right"/>
    </xf>
    <xf numFmtId="196" fontId="11" fillId="0" borderId="42" xfId="0" applyNumberFormat="1" applyFont="1" applyBorder="1" applyAlignment="1">
      <alignment horizontal="right"/>
    </xf>
    <xf numFmtId="0" fontId="11" fillId="0" borderId="33" xfId="0" applyFont="1" applyBorder="1"/>
    <xf numFmtId="0" fontId="11" fillId="0" borderId="34" xfId="0" applyFont="1" applyBorder="1"/>
    <xf numFmtId="0" fontId="11" fillId="0" borderId="35" xfId="0" applyFont="1" applyBorder="1"/>
    <xf numFmtId="0" fontId="11" fillId="3" borderId="2" xfId="0" applyFont="1" applyFill="1" applyBorder="1"/>
    <xf numFmtId="0" fontId="11" fillId="3" borderId="44" xfId="0" applyFont="1" applyFill="1" applyBorder="1"/>
    <xf numFmtId="0" fontId="7" fillId="0" borderId="0" xfId="0" applyFont="1"/>
    <xf numFmtId="0" fontId="25" fillId="0" borderId="9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42" xfId="0" applyFont="1" applyBorder="1" applyAlignment="1">
      <alignment horizontal="left"/>
    </xf>
    <xf numFmtId="37" fontId="11" fillId="0" borderId="42" xfId="0" applyNumberFormat="1" applyFont="1" applyBorder="1"/>
    <xf numFmtId="0" fontId="10" fillId="0" borderId="2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1" xfId="0" applyFont="1" applyBorder="1"/>
    <xf numFmtId="173" fontId="10" fillId="0" borderId="17" xfId="6" applyNumberFormat="1" applyFont="1" applyFill="1" applyBorder="1" applyAlignment="1" applyProtection="1">
      <alignment horizontal="right"/>
    </xf>
    <xf numFmtId="173" fontId="10" fillId="0" borderId="11" xfId="6" applyNumberFormat="1" applyFont="1" applyFill="1" applyBorder="1" applyAlignment="1" applyProtection="1">
      <alignment horizontal="right"/>
    </xf>
    <xf numFmtId="173" fontId="10" fillId="0" borderId="18" xfId="6" applyNumberFormat="1" applyFont="1" applyFill="1" applyBorder="1" applyAlignment="1" applyProtection="1">
      <alignment horizontal="right"/>
    </xf>
    <xf numFmtId="173" fontId="10" fillId="0" borderId="45" xfId="6" applyNumberFormat="1" applyFont="1" applyFill="1" applyBorder="1" applyAlignment="1" applyProtection="1">
      <alignment horizontal="right"/>
    </xf>
    <xf numFmtId="0" fontId="21" fillId="0" borderId="9" xfId="0" applyFont="1" applyBorder="1"/>
    <xf numFmtId="9" fontId="11" fillId="0" borderId="0" xfId="0" applyNumberFormat="1" applyFont="1"/>
    <xf numFmtId="9" fontId="11" fillId="0" borderId="42" xfId="0" applyNumberFormat="1" applyFont="1" applyBorder="1"/>
    <xf numFmtId="197" fontId="8" fillId="0" borderId="0" xfId="6" applyNumberFormat="1" applyFont="1" applyFill="1" applyBorder="1" applyAlignment="1" applyProtection="1">
      <alignment horizontal="right"/>
    </xf>
    <xf numFmtId="197" fontId="8" fillId="0" borderId="42" xfId="6" applyNumberFormat="1" applyFont="1" applyFill="1" applyBorder="1" applyAlignment="1" applyProtection="1">
      <alignment horizontal="right"/>
    </xf>
    <xf numFmtId="0" fontId="8" fillId="9" borderId="52" xfId="0" applyFont="1" applyFill="1" applyBorder="1" applyAlignment="1">
      <alignment horizontal="left"/>
    </xf>
    <xf numFmtId="0" fontId="10" fillId="9" borderId="2" xfId="0" applyFont="1" applyFill="1" applyBorder="1" applyAlignment="1">
      <alignment horizontal="left"/>
    </xf>
    <xf numFmtId="0" fontId="10" fillId="9" borderId="43" xfId="0" applyFont="1" applyFill="1" applyBorder="1" applyAlignment="1">
      <alignment horizontal="left"/>
    </xf>
    <xf numFmtId="0" fontId="27" fillId="0" borderId="9" xfId="0" applyFont="1" applyBorder="1"/>
    <xf numFmtId="164" fontId="10" fillId="0" borderId="2" xfId="0" applyNumberFormat="1" applyFont="1" applyBorder="1" applyAlignment="1">
      <alignment horizontal="center"/>
    </xf>
    <xf numFmtId="0" fontId="11" fillId="7" borderId="0" xfId="0" applyFont="1" applyFill="1"/>
    <xf numFmtId="0" fontId="16" fillId="8" borderId="33" xfId="0" quotePrefix="1" applyFont="1" applyFill="1" applyBorder="1"/>
    <xf numFmtId="0" fontId="16" fillId="8" borderId="34" xfId="0" applyFont="1" applyFill="1" applyBorder="1"/>
    <xf numFmtId="0" fontId="16" fillId="8" borderId="35" xfId="0" applyFont="1" applyFill="1" applyBorder="1"/>
    <xf numFmtId="174" fontId="19" fillId="8" borderId="42" xfId="6" applyNumberFormat="1" applyFont="1" applyFill="1" applyBorder="1" applyAlignment="1" applyProtection="1">
      <alignment horizontal="right"/>
    </xf>
    <xf numFmtId="193" fontId="11" fillId="0" borderId="0" xfId="6" applyNumberFormat="1" applyFill="1" applyBorder="1" applyProtection="1"/>
    <xf numFmtId="193" fontId="11" fillId="0" borderId="42" xfId="6" applyNumberFormat="1" applyFill="1" applyBorder="1" applyProtection="1"/>
    <xf numFmtId="0" fontId="10" fillId="0" borderId="42" xfId="0" applyFont="1" applyBorder="1" applyAlignment="1">
      <alignment horizontal="left"/>
    </xf>
    <xf numFmtId="180" fontId="11" fillId="0" borderId="17" xfId="6" applyNumberFormat="1" applyFill="1" applyBorder="1" applyProtection="1"/>
    <xf numFmtId="198" fontId="11" fillId="0" borderId="42" xfId="6" applyNumberFormat="1" applyFill="1" applyBorder="1" applyProtection="1"/>
    <xf numFmtId="0" fontId="10" fillId="0" borderId="9" xfId="0" applyFont="1" applyBorder="1" applyAlignment="1">
      <alignment horizontal="left"/>
    </xf>
    <xf numFmtId="180" fontId="11" fillId="0" borderId="42" xfId="6" applyNumberFormat="1" applyFill="1" applyBorder="1" applyAlignment="1" applyProtection="1">
      <alignment horizontal="right"/>
    </xf>
    <xf numFmtId="199" fontId="8" fillId="0" borderId="0" xfId="6" applyNumberFormat="1" applyFont="1" applyFill="1" applyBorder="1" applyAlignment="1" applyProtection="1">
      <alignment horizontal="right"/>
    </xf>
    <xf numFmtId="199" fontId="8" fillId="0" borderId="10" xfId="6" applyNumberFormat="1" applyFont="1" applyFill="1" applyBorder="1" applyAlignment="1" applyProtection="1">
      <alignment horizontal="right"/>
    </xf>
    <xf numFmtId="199" fontId="8" fillId="0" borderId="12" xfId="6" applyNumberFormat="1" applyFont="1" applyFill="1" applyBorder="1" applyAlignment="1" applyProtection="1">
      <alignment horizontal="right"/>
    </xf>
    <xf numFmtId="199" fontId="8" fillId="0" borderId="42" xfId="6" applyNumberFormat="1" applyFont="1" applyFill="1" applyBorder="1" applyAlignment="1" applyProtection="1">
      <alignment horizontal="right"/>
    </xf>
    <xf numFmtId="0" fontId="23" fillId="0" borderId="13" xfId="0" applyFont="1" applyBorder="1"/>
    <xf numFmtId="193" fontId="11" fillId="0" borderId="2" xfId="6" applyNumberFormat="1" applyFill="1" applyBorder="1" applyProtection="1"/>
    <xf numFmtId="193" fontId="11" fillId="0" borderId="44" xfId="6" applyNumberFormat="1" applyFill="1" applyBorder="1" applyProtection="1"/>
    <xf numFmtId="0" fontId="21" fillId="0" borderId="16" xfId="0" applyFont="1" applyBorder="1"/>
    <xf numFmtId="0" fontId="11" fillId="0" borderId="17" xfId="0" applyFont="1" applyBorder="1"/>
    <xf numFmtId="0" fontId="11" fillId="0" borderId="53" xfId="0" applyFont="1" applyBorder="1"/>
    <xf numFmtId="200" fontId="11" fillId="0" borderId="42" xfId="0" applyNumberFormat="1" applyFont="1" applyBorder="1" applyAlignment="1">
      <alignment horizontal="right"/>
    </xf>
    <xf numFmtId="0" fontId="20" fillId="8" borderId="9" xfId="0" applyFont="1" applyFill="1" applyBorder="1"/>
    <xf numFmtId="0" fontId="20" fillId="8" borderId="42" xfId="0" applyFont="1" applyFill="1" applyBorder="1"/>
    <xf numFmtId="200" fontId="11" fillId="0" borderId="44" xfId="0" applyNumberFormat="1" applyFont="1" applyBorder="1" applyAlignment="1">
      <alignment horizontal="right"/>
    </xf>
    <xf numFmtId="0" fontId="16" fillId="8" borderId="42" xfId="0" applyFont="1" applyFill="1" applyBorder="1" applyAlignment="1">
      <alignment horizontal="center"/>
    </xf>
    <xf numFmtId="177" fontId="16" fillId="8" borderId="42" xfId="0" applyNumberFormat="1" applyFont="1" applyFill="1" applyBorder="1" applyAlignment="1">
      <alignment horizontal="center"/>
    </xf>
    <xf numFmtId="201" fontId="19" fillId="8" borderId="44" xfId="6" applyNumberFormat="1" applyFont="1" applyFill="1" applyBorder="1" applyAlignment="1" applyProtection="1">
      <alignment horizontal="center"/>
    </xf>
    <xf numFmtId="179" fontId="30" fillId="0" borderId="31" xfId="0" applyNumberFormat="1" applyFont="1" applyBorder="1"/>
    <xf numFmtId="179" fontId="10" fillId="0" borderId="31" xfId="0" applyNumberFormat="1" applyFont="1" applyBorder="1"/>
    <xf numFmtId="178" fontId="11" fillId="0" borderId="0" xfId="0" applyNumberFormat="1" applyFont="1"/>
    <xf numFmtId="179" fontId="11" fillId="0" borderId="0" xfId="0" applyNumberFormat="1" applyFont="1"/>
    <xf numFmtId="0" fontId="31" fillId="0" borderId="31" xfId="0" applyFont="1" applyBorder="1"/>
    <xf numFmtId="44" fontId="11" fillId="0" borderId="0" xfId="0" applyNumberFormat="1" applyFont="1"/>
    <xf numFmtId="10" fontId="11" fillId="0" borderId="0" xfId="0" applyNumberFormat="1" applyFont="1"/>
    <xf numFmtId="10" fontId="10" fillId="0" borderId="0" xfId="0" applyNumberFormat="1" applyFont="1"/>
    <xf numFmtId="202" fontId="11" fillId="0" borderId="0" xfId="0" applyNumberFormat="1" applyFont="1"/>
    <xf numFmtId="0" fontId="11" fillId="0" borderId="0" xfId="0" applyFont="1" applyAlignment="1">
      <alignment horizontal="center"/>
    </xf>
    <xf numFmtId="0" fontId="0" fillId="10" borderId="0" xfId="0" applyFill="1"/>
    <xf numFmtId="14" fontId="11" fillId="0" borderId="0" xfId="6" applyNumberFormat="1" applyFill="1" applyBorder="1" applyAlignment="1" applyProtection="1">
      <alignment horizontal="center"/>
    </xf>
    <xf numFmtId="7" fontId="11" fillId="0" borderId="0" xfId="6" applyNumberFormat="1" applyFill="1" applyBorder="1" applyAlignment="1" applyProtection="1">
      <alignment horizontal="center"/>
    </xf>
    <xf numFmtId="5" fontId="11" fillId="0" borderId="0" xfId="6" applyNumberFormat="1" applyFill="1" applyBorder="1" applyAlignment="1" applyProtection="1">
      <alignment horizontal="center"/>
    </xf>
    <xf numFmtId="166" fontId="11" fillId="0" borderId="12" xfId="3" applyNumberFormat="1" applyFont="1" applyBorder="1" applyAlignment="1">
      <alignment horizontal="center"/>
    </xf>
    <xf numFmtId="5" fontId="11" fillId="0" borderId="12" xfId="6" applyNumberFormat="1" applyFill="1" applyBorder="1" applyAlignment="1" applyProtection="1">
      <alignment horizontal="center"/>
    </xf>
    <xf numFmtId="167" fontId="11" fillId="0" borderId="12" xfId="3" applyNumberFormat="1" applyFont="1" applyBorder="1" applyAlignment="1">
      <alignment horizontal="center"/>
    </xf>
    <xf numFmtId="0" fontId="11" fillId="11" borderId="57" xfId="3" applyFont="1" applyFill="1" applyBorder="1"/>
    <xf numFmtId="0" fontId="11" fillId="11" borderId="58" xfId="3" applyFont="1" applyFill="1" applyBorder="1" applyAlignment="1">
      <alignment horizontal="center"/>
    </xf>
    <xf numFmtId="0" fontId="11" fillId="11" borderId="59" xfId="3" applyFont="1" applyFill="1" applyBorder="1" applyAlignment="1">
      <alignment horizontal="center"/>
    </xf>
    <xf numFmtId="14" fontId="11" fillId="11" borderId="58" xfId="6" applyNumberFormat="1" applyFill="1" applyBorder="1" applyAlignment="1" applyProtection="1">
      <alignment horizontal="center"/>
    </xf>
    <xf numFmtId="7" fontId="11" fillId="11" borderId="58" xfId="6" applyNumberFormat="1" applyFill="1" applyBorder="1" applyAlignment="1" applyProtection="1">
      <alignment horizontal="center"/>
    </xf>
    <xf numFmtId="9" fontId="11" fillId="11" borderId="58" xfId="3" applyNumberFormat="1" applyFont="1" applyFill="1" applyBorder="1" applyAlignment="1">
      <alignment horizontal="center"/>
    </xf>
    <xf numFmtId="5" fontId="11" fillId="11" borderId="58" xfId="6" applyNumberFormat="1" applyFill="1" applyBorder="1" applyAlignment="1" applyProtection="1">
      <alignment horizontal="center"/>
    </xf>
    <xf numFmtId="5" fontId="11" fillId="11" borderId="59" xfId="6" applyNumberFormat="1" applyFill="1" applyBorder="1" applyAlignment="1" applyProtection="1">
      <alignment horizontal="center"/>
    </xf>
    <xf numFmtId="165" fontId="11" fillId="11" borderId="58" xfId="3" applyNumberFormat="1" applyFont="1" applyFill="1" applyBorder="1" applyAlignment="1">
      <alignment horizontal="center"/>
    </xf>
    <xf numFmtId="165" fontId="11" fillId="11" borderId="59" xfId="3" applyNumberFormat="1" applyFont="1" applyFill="1" applyBorder="1" applyAlignment="1">
      <alignment horizontal="center"/>
    </xf>
    <xf numFmtId="166" fontId="11" fillId="11" borderId="59" xfId="3" applyNumberFormat="1" applyFont="1" applyFill="1" applyBorder="1" applyAlignment="1">
      <alignment horizontal="center"/>
    </xf>
    <xf numFmtId="167" fontId="11" fillId="11" borderId="59" xfId="3" applyNumberFormat="1" applyFont="1" applyFill="1" applyBorder="1" applyAlignment="1">
      <alignment horizontal="center"/>
    </xf>
    <xf numFmtId="0" fontId="11" fillId="0" borderId="61" xfId="3" applyFont="1" applyBorder="1"/>
    <xf numFmtId="0" fontId="11" fillId="0" borderId="62" xfId="3" applyFont="1" applyBorder="1"/>
    <xf numFmtId="0" fontId="11" fillId="0" borderId="60" xfId="3" applyFont="1" applyBorder="1"/>
    <xf numFmtId="9" fontId="11" fillId="0" borderId="37" xfId="3" applyNumberFormat="1" applyFont="1" applyBorder="1" applyAlignment="1">
      <alignment horizontal="center"/>
    </xf>
    <xf numFmtId="9" fontId="11" fillId="0" borderId="38" xfId="3" applyNumberFormat="1" applyFont="1" applyBorder="1" applyAlignment="1">
      <alignment horizontal="center"/>
    </xf>
    <xf numFmtId="9" fontId="11" fillId="5" borderId="64" xfId="3" applyNumberFormat="1" applyFont="1" applyFill="1" applyBorder="1" applyAlignment="1">
      <alignment horizontal="center"/>
    </xf>
    <xf numFmtId="9" fontId="11" fillId="0" borderId="63" xfId="3" applyNumberFormat="1" applyFont="1" applyBorder="1" applyAlignment="1">
      <alignment horizontal="center"/>
    </xf>
    <xf numFmtId="9" fontId="11" fillId="0" borderId="65" xfId="3" applyNumberFormat="1" applyFont="1" applyBorder="1" applyAlignment="1">
      <alignment horizontal="center"/>
    </xf>
    <xf numFmtId="39" fontId="11" fillId="5" borderId="64" xfId="6" applyNumberFormat="1" applyFill="1" applyBorder="1" applyAlignment="1" applyProtection="1">
      <alignment horizontal="center"/>
    </xf>
    <xf numFmtId="39" fontId="11" fillId="0" borderId="63" xfId="6" applyNumberFormat="1" applyFill="1" applyBorder="1" applyAlignment="1" applyProtection="1">
      <alignment horizontal="center"/>
    </xf>
    <xf numFmtId="39" fontId="11" fillId="0" borderId="65" xfId="6" applyNumberFormat="1" applyFill="1" applyBorder="1" applyAlignment="1" applyProtection="1">
      <alignment horizontal="center"/>
    </xf>
    <xf numFmtId="0" fontId="20" fillId="0" borderId="0" xfId="0" applyFont="1" applyAlignment="1">
      <alignment horizontal="center"/>
    </xf>
    <xf numFmtId="37" fontId="11" fillId="0" borderId="0" xfId="3" applyNumberFormat="1" applyFont="1"/>
    <xf numFmtId="0" fontId="23" fillId="0" borderId="0" xfId="0" applyFont="1"/>
    <xf numFmtId="0" fontId="23" fillId="0" borderId="0" xfId="0" applyFont="1" applyAlignment="1">
      <alignment horizontal="left" indent="1"/>
    </xf>
    <xf numFmtId="203" fontId="11" fillId="0" borderId="0" xfId="0" applyNumberFormat="1" applyFont="1"/>
    <xf numFmtId="0" fontId="23" fillId="0" borderId="0" xfId="0" applyFont="1" applyAlignment="1">
      <alignment horizontal="left" wrapText="1"/>
    </xf>
    <xf numFmtId="37" fontId="11" fillId="0" borderId="17" xfId="3" applyNumberFormat="1" applyFont="1" applyBorder="1"/>
    <xf numFmtId="7" fontId="10" fillId="0" borderId="0" xfId="3" applyNumberFormat="1" applyFont="1"/>
    <xf numFmtId="0" fontId="27" fillId="0" borderId="67" xfId="0" applyFont="1" applyBorder="1" applyAlignment="1">
      <alignment horizontal="center" wrapText="1"/>
    </xf>
    <xf numFmtId="204" fontId="32" fillId="0" borderId="0" xfId="0" applyNumberFormat="1" applyFont="1"/>
    <xf numFmtId="0" fontId="27" fillId="0" borderId="66" xfId="0" applyFont="1" applyBorder="1" applyAlignment="1">
      <alignment horizontal="centerContinuous"/>
    </xf>
    <xf numFmtId="168" fontId="23" fillId="0" borderId="66" xfId="0" applyNumberFormat="1" applyFont="1" applyBorder="1" applyAlignment="1">
      <alignment horizontal="centerContinuous"/>
    </xf>
    <xf numFmtId="0" fontId="34" fillId="0" borderId="0" xfId="0" applyFont="1"/>
    <xf numFmtId="0" fontId="27" fillId="0" borderId="0" xfId="0" applyFont="1" applyAlignment="1">
      <alignment horizontal="left" indent="1"/>
    </xf>
    <xf numFmtId="0" fontId="34" fillId="0" borderId="0" xfId="0" applyFont="1" applyAlignment="1">
      <alignment horizontal="left"/>
    </xf>
    <xf numFmtId="203" fontId="23" fillId="0" borderId="0" xfId="0" applyNumberFormat="1" applyFont="1"/>
    <xf numFmtId="165" fontId="11" fillId="0" borderId="0" xfId="3" applyNumberFormat="1" applyFont="1" applyAlignment="1">
      <alignment horizontal="right"/>
    </xf>
    <xf numFmtId="0" fontId="11" fillId="0" borderId="0" xfId="3" applyFont="1" applyAlignment="1">
      <alignment horizontal="right"/>
    </xf>
    <xf numFmtId="5" fontId="11" fillId="0" borderId="0" xfId="3" applyNumberFormat="1" applyFont="1" applyAlignment="1">
      <alignment horizontal="right"/>
    </xf>
    <xf numFmtId="7" fontId="11" fillId="0" borderId="0" xfId="3" applyNumberFormat="1" applyFont="1" applyAlignment="1">
      <alignment horizontal="right"/>
    </xf>
    <xf numFmtId="0" fontId="27" fillId="0" borderId="66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0" xfId="0" applyFont="1" applyAlignment="1">
      <alignment horizontal="right"/>
    </xf>
    <xf numFmtId="9" fontId="27" fillId="0" borderId="0" xfId="0" applyNumberFormat="1" applyFont="1"/>
    <xf numFmtId="9" fontId="33" fillId="8" borderId="3" xfId="0" applyNumberFormat="1" applyFont="1" applyFill="1" applyBorder="1" applyAlignment="1">
      <alignment horizontal="center"/>
    </xf>
    <xf numFmtId="0" fontId="11" fillId="0" borderId="42" xfId="0" applyFont="1" applyBorder="1" applyAlignment="1">
      <alignment horizontal="right"/>
    </xf>
    <xf numFmtId="0" fontId="11" fillId="0" borderId="0" xfId="0" applyFont="1" applyAlignment="1">
      <alignment horizontal="left" vertical="top" wrapText="1"/>
    </xf>
    <xf numFmtId="0" fontId="16" fillId="8" borderId="5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>
      <alignment wrapText="1"/>
    </xf>
    <xf numFmtId="0" fontId="0" fillId="0" borderId="32" xfId="0" applyBorder="1" applyAlignment="1">
      <alignment wrapText="1"/>
    </xf>
    <xf numFmtId="0" fontId="16" fillId="8" borderId="31" xfId="0" applyFont="1" applyFill="1" applyBorder="1" applyAlignment="1">
      <alignment wrapText="1"/>
    </xf>
  </cellXfs>
  <cellStyles count="12">
    <cellStyle name="_x000a_386grabber=M" xfId="6" xr:uid="{4562F40B-B71D-40C5-BB65-362D9C78F0EB}"/>
    <cellStyle name="AFE 2" xfId="8" xr:uid="{16927677-515C-438F-AB82-A86F7117E5DA}"/>
    <cellStyle name="Input" xfId="2" builtinId="20"/>
    <cellStyle name="Normal" xfId="0" builtinId="0"/>
    <cellStyle name="Normal_Ch01 Pics v2.2" xfId="9" xr:uid="{26E0B500-7FF7-4338-930E-8502FAD59D2E}"/>
    <cellStyle name="Normal_Ch02 Pics v1.0" xfId="5" xr:uid="{B8A1EC8D-E5EE-49CD-9C84-4CF187B6783E}"/>
    <cellStyle name="Normal_Ch03 Pics v1.0" xfId="3" xr:uid="{CBD19DF6-F972-4B3D-AEA9-290898BDF295}"/>
    <cellStyle name="Normal_Implied Valuation Range" xfId="11" xr:uid="{1FC33513-E6BF-4C5B-804E-F7B7736CC25C}"/>
    <cellStyle name="Normal_Input Page2" xfId="10" xr:uid="{808D8D87-2772-485F-9311-4C7F3D7E40F3}"/>
    <cellStyle name="Normal_PT" xfId="4" xr:uid="{9FFEB6FD-D65D-4E03-918B-F997DBD6AC1F}"/>
    <cellStyle name="Percent" xfId="1" builtinId="5"/>
    <cellStyle name="Percent 2" xfId="7" xr:uid="{FFC30267-52C2-4CB5-9DE4-E055673AE415}"/>
  </cellStyles>
  <dxfs count="0"/>
  <tableStyles count="0" defaultTableStyle="TableStyleMedium2" defaultPivotStyle="PivotStyleLight16"/>
  <colors>
    <mruColors>
      <color rgb="FF8080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'Comparables Football Field'!$B$1</c:f>
              <c:strCache>
                <c:ptCount val="1"/>
                <c:pt idx="0">
                  <c:v>Lower Value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'Comparables Football Field'!$A$2:$A$7</c:f>
              <c:strCache>
                <c:ptCount val="6"/>
                <c:pt idx="0">
                  <c:v>LTM EV / EBITDA</c:v>
                </c:pt>
                <c:pt idx="1">
                  <c:v>LTM EV / EBIT</c:v>
                </c:pt>
                <c:pt idx="2">
                  <c:v>LTM P/E </c:v>
                </c:pt>
                <c:pt idx="3">
                  <c:v>1 Yr. EV / EBITDA</c:v>
                </c:pt>
                <c:pt idx="4">
                  <c:v>1 Yr. EV / EBIT</c:v>
                </c:pt>
                <c:pt idx="5">
                  <c:v>1 Yr. P/E</c:v>
                </c:pt>
              </c:strCache>
            </c:strRef>
          </c:cat>
          <c:val>
            <c:numRef>
              <c:f>'Comparables Football Field'!$B$2:$B$7</c:f>
              <c:numCache>
                <c:formatCode>"$"#,##0.00_);\("$"#,##0.00\);@_)</c:formatCode>
                <c:ptCount val="6"/>
                <c:pt idx="0">
                  <c:v>233.85710604443051</c:v>
                </c:pt>
                <c:pt idx="1">
                  <c:v>184.18290741169727</c:v>
                </c:pt>
                <c:pt idx="2">
                  <c:v>176.39202980128522</c:v>
                </c:pt>
                <c:pt idx="3">
                  <c:v>124.49677085224477</c:v>
                </c:pt>
                <c:pt idx="4">
                  <c:v>121.89307831127481</c:v>
                </c:pt>
                <c:pt idx="5">
                  <c:v>194.92660635261723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4-46D7-BAEB-0281F39B9D83}"/>
            </c:ext>
          </c:extLst>
        </c:ser>
        <c:ser>
          <c:idx val="1"/>
          <c:order val="1"/>
          <c:tx>
            <c:strRef>
              <c:f>'Comparables Football Field'!$C$1</c:f>
              <c:strCache>
                <c:ptCount val="1"/>
                <c:pt idx="0">
                  <c:v>Column Value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'Comparables Football Field'!$A$2:$A$7</c:f>
              <c:strCache>
                <c:ptCount val="6"/>
                <c:pt idx="0">
                  <c:v>LTM EV / EBITDA</c:v>
                </c:pt>
                <c:pt idx="1">
                  <c:v>LTM EV / EBIT</c:v>
                </c:pt>
                <c:pt idx="2">
                  <c:v>LTM P/E </c:v>
                </c:pt>
                <c:pt idx="3">
                  <c:v>1 Yr. EV / EBITDA</c:v>
                </c:pt>
                <c:pt idx="4">
                  <c:v>1 Yr. EV / EBIT</c:v>
                </c:pt>
                <c:pt idx="5">
                  <c:v>1 Yr. P/E</c:v>
                </c:pt>
              </c:strCache>
            </c:strRef>
          </c:cat>
          <c:val>
            <c:numRef>
              <c:f>'Comparables Football Field'!$C$2:$C$7</c:f>
              <c:numCache>
                <c:formatCode>"$"#,##0.00_);\("$"#,##0.00\);@_)</c:formatCode>
                <c:ptCount val="6"/>
                <c:pt idx="0">
                  <c:v>393.92534281608772</c:v>
                </c:pt>
                <c:pt idx="1">
                  <c:v>299.00632166816501</c:v>
                </c:pt>
                <c:pt idx="2">
                  <c:v>271.72885769114725</c:v>
                </c:pt>
                <c:pt idx="3">
                  <c:v>218.94323189540324</c:v>
                </c:pt>
                <c:pt idx="4">
                  <c:v>219.27574495766981</c:v>
                </c:pt>
                <c:pt idx="5">
                  <c:v>196.31460337106739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4-46D7-BAEB-0281F39B9D83}"/>
            </c:ext>
          </c:extLst>
        </c:ser>
        <c:ser>
          <c:idx val="2"/>
          <c:order val="2"/>
          <c:tx>
            <c:strRef>
              <c:f>'Comparables Football Field'!$D$1</c:f>
              <c:strCache>
                <c:ptCount val="1"/>
                <c:pt idx="0">
                  <c:v>Upper Value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'Comparables Football Field'!$A$2:$A$7</c:f>
              <c:strCache>
                <c:ptCount val="6"/>
                <c:pt idx="0">
                  <c:v>LTM EV / EBITDA</c:v>
                </c:pt>
                <c:pt idx="1">
                  <c:v>LTM EV / EBIT</c:v>
                </c:pt>
                <c:pt idx="2">
                  <c:v>LTM P/E </c:v>
                </c:pt>
                <c:pt idx="3">
                  <c:v>1 Yr. EV / EBITDA</c:v>
                </c:pt>
                <c:pt idx="4">
                  <c:v>1 Yr. EV / EBIT</c:v>
                </c:pt>
                <c:pt idx="5">
                  <c:v>1 Yr. P/E</c:v>
                </c:pt>
              </c:strCache>
            </c:strRef>
          </c:cat>
          <c:val>
            <c:numRef>
              <c:f>'Comparables Football Field'!$D$2:$D$7</c:f>
              <c:numCache>
                <c:formatCode>"$"#,##0.00_);\("$"#,##0.00\);@_)</c:formatCode>
                <c:ptCount val="6"/>
                <c:pt idx="0">
                  <c:v>627.78244886051823</c:v>
                </c:pt>
                <c:pt idx="1">
                  <c:v>483.18922907986229</c:v>
                </c:pt>
                <c:pt idx="2">
                  <c:v>448.12088749243247</c:v>
                </c:pt>
                <c:pt idx="3">
                  <c:v>343.44000274764801</c:v>
                </c:pt>
                <c:pt idx="4">
                  <c:v>341.16882326894461</c:v>
                </c:pt>
                <c:pt idx="5">
                  <c:v>391.24120972368462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4-46D7-BAEB-0281F39B9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3447552"/>
        <c:axId val="1306852160"/>
      </c:barChart>
      <c:catAx>
        <c:axId val="208344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852160"/>
        <c:crosses val="autoZero"/>
        <c:auto val="1"/>
        <c:lblAlgn val="ctr"/>
        <c:lblOffset val="100"/>
        <c:noMultiLvlLbl val="0"/>
      </c:catAx>
      <c:valAx>
        <c:axId val="1306852160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4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44CB44-F701-47A0-9A92-8E80F418722E}"/>
            </a:ext>
          </a:extLst>
        </xdr:cNvPr>
        <xdr:cNvSpPr>
          <a:spLocks noChangeArrowheads="1"/>
        </xdr:cNvSpPr>
      </xdr:nvSpPr>
      <xdr:spPr bwMode="auto">
        <a:xfrm>
          <a:off x="3714750" y="37814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7184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24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9B2859-CD03-46AC-91F0-E311773AEBE4}"/>
            </a:ext>
          </a:extLst>
        </xdr:cNvPr>
        <xdr:cNvSpPr>
          <a:spLocks noChangeArrowheads="1"/>
        </xdr:cNvSpPr>
      </xdr:nvSpPr>
      <xdr:spPr bwMode="auto">
        <a:xfrm>
          <a:off x="3714750" y="3781425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71842" dir="2700000" algn="ctr" rotWithShape="0">
            <a:srgbClr xmlns:mc="http://schemas.openxmlformats.org/markup-compatibility/2006" xmlns:a14="http://schemas.microsoft.com/office/drawing/2010/main" val="000000" mc:Ignorable="a14" a14:legacySpreadsheetColorIndex="8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85723</xdr:colOff>
      <xdr:row>7</xdr:row>
      <xdr:rowOff>161925</xdr:rowOff>
    </xdr:from>
    <xdr:to>
      <xdr:col>9</xdr:col>
      <xdr:colOff>533399</xdr:colOff>
      <xdr:row>29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2AB40-AC72-B356-F6D0-DD87C205A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3AFD-2103-4DB9-AF08-7F0CBC1736E6}">
  <sheetPr codeName="Sheet1">
    <tabColor theme="9" tint="-0.249977111117893"/>
  </sheetPr>
  <dimension ref="A1:AA42"/>
  <sheetViews>
    <sheetView showGridLines="0" topLeftCell="A3" zoomScaleNormal="100" workbookViewId="0">
      <selection activeCell="L27" sqref="L27"/>
    </sheetView>
  </sheetViews>
  <sheetFormatPr defaultRowHeight="15"/>
  <cols>
    <col min="1" max="1" width="27.140625" customWidth="1"/>
    <col min="2" max="2" width="6.7109375" customWidth="1"/>
    <col min="3" max="3" width="10.28515625" bestFit="1" customWidth="1"/>
    <col min="5" max="5" width="12.85546875" customWidth="1"/>
    <col min="8" max="9" width="10.7109375" bestFit="1" customWidth="1"/>
    <col min="10" max="10" width="12" customWidth="1"/>
  </cols>
  <sheetData>
    <row r="1" spans="1:25" ht="20.25">
      <c r="A1" s="2" t="str">
        <f>B4&amp;" Comparable Companies Analysis"</f>
        <v>NVIDIA Comparable Companies Analysis</v>
      </c>
      <c r="B1" s="3"/>
      <c r="C1" s="3"/>
      <c r="D1" s="3"/>
      <c r="E1" s="3"/>
      <c r="F1" s="3"/>
      <c r="G1" s="3"/>
      <c r="H1" s="1"/>
      <c r="I1" s="1"/>
      <c r="J1" s="1"/>
    </row>
    <row r="2" spans="1:25">
      <c r="A2" s="4" t="s">
        <v>0</v>
      </c>
      <c r="B2" s="3"/>
      <c r="C2" s="3"/>
      <c r="D2" s="3"/>
      <c r="E2" s="3"/>
      <c r="F2" s="3"/>
      <c r="G2" s="3"/>
    </row>
    <row r="4" spans="1:25">
      <c r="A4" s="6" t="s">
        <v>1</v>
      </c>
      <c r="B4" s="5" t="s">
        <v>2</v>
      </c>
    </row>
    <row r="5" spans="1:25">
      <c r="A5" s="6" t="s">
        <v>3</v>
      </c>
      <c r="B5" s="5" t="s">
        <v>4</v>
      </c>
    </row>
    <row r="7" spans="1:25">
      <c r="A7" s="7" t="s">
        <v>5</v>
      </c>
      <c r="B7" s="8"/>
      <c r="C7" s="9"/>
      <c r="D7" s="10" t="s">
        <v>6</v>
      </c>
      <c r="E7" s="8"/>
      <c r="F7" s="8"/>
      <c r="G7" s="8"/>
      <c r="H7" s="8"/>
      <c r="I7" s="9"/>
      <c r="J7" s="11" t="s">
        <v>7</v>
      </c>
      <c r="K7" s="12"/>
      <c r="L7" s="12"/>
      <c r="M7" s="12"/>
      <c r="N7" s="12"/>
      <c r="O7" s="12"/>
      <c r="P7" s="12"/>
      <c r="Q7" s="12"/>
      <c r="R7" s="12"/>
      <c r="S7" s="11" t="s">
        <v>8</v>
      </c>
      <c r="T7" s="12"/>
      <c r="U7" s="12"/>
      <c r="V7" s="12"/>
      <c r="W7" s="11" t="s">
        <v>9</v>
      </c>
      <c r="X7" s="12"/>
      <c r="Y7" s="13"/>
    </row>
    <row r="8" spans="1:25">
      <c r="A8" s="14"/>
      <c r="B8" s="15"/>
      <c r="C8" s="15"/>
      <c r="D8" s="16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7" t="s">
        <v>16</v>
      </c>
      <c r="K8" s="15" t="s">
        <v>17</v>
      </c>
      <c r="L8" s="15" t="s">
        <v>18</v>
      </c>
      <c r="M8" s="15" t="s">
        <v>16</v>
      </c>
      <c r="N8" s="15" t="s">
        <v>17</v>
      </c>
      <c r="O8" s="15" t="s">
        <v>18</v>
      </c>
      <c r="P8" s="15" t="s">
        <v>16</v>
      </c>
      <c r="Q8" s="15" t="s">
        <v>17</v>
      </c>
      <c r="R8" s="15" t="s">
        <v>18</v>
      </c>
      <c r="S8" s="18" t="s">
        <v>16</v>
      </c>
      <c r="T8" s="15" t="s">
        <v>17</v>
      </c>
      <c r="U8" s="15" t="s">
        <v>18</v>
      </c>
      <c r="V8" s="15" t="s">
        <v>16</v>
      </c>
      <c r="W8" s="19" t="s">
        <v>19</v>
      </c>
      <c r="X8" s="20" t="s">
        <v>20</v>
      </c>
      <c r="Y8" s="21" t="s">
        <v>21</v>
      </c>
    </row>
    <row r="9" spans="1:25">
      <c r="A9" s="22" t="s">
        <v>22</v>
      </c>
      <c r="B9" s="23" t="s">
        <v>3</v>
      </c>
      <c r="C9" s="23" t="s">
        <v>23</v>
      </c>
      <c r="D9" s="24" t="s">
        <v>24</v>
      </c>
      <c r="E9" s="25" t="s">
        <v>25</v>
      </c>
      <c r="F9" s="26" t="s">
        <v>26</v>
      </c>
      <c r="G9" s="26" t="s">
        <v>26</v>
      </c>
      <c r="H9" s="23" t="s">
        <v>27</v>
      </c>
      <c r="I9" s="23" t="s">
        <v>27</v>
      </c>
      <c r="J9" s="27" t="s">
        <v>28</v>
      </c>
      <c r="K9" s="23" t="s">
        <v>28</v>
      </c>
      <c r="L9" s="23" t="s">
        <v>28</v>
      </c>
      <c r="M9" s="23" t="s">
        <v>29</v>
      </c>
      <c r="N9" s="23" t="s">
        <v>29</v>
      </c>
      <c r="O9" s="23" t="s">
        <v>29</v>
      </c>
      <c r="P9" s="23" t="s">
        <v>30</v>
      </c>
      <c r="Q9" s="23" t="s">
        <v>30</v>
      </c>
      <c r="R9" s="23" t="s">
        <v>30</v>
      </c>
      <c r="S9" s="27" t="s">
        <v>31</v>
      </c>
      <c r="T9" s="23" t="s">
        <v>31</v>
      </c>
      <c r="U9" s="23" t="s">
        <v>31</v>
      </c>
      <c r="V9" s="23" t="s">
        <v>32</v>
      </c>
      <c r="W9" s="28" t="s">
        <v>33</v>
      </c>
      <c r="X9" s="29" t="s">
        <v>29</v>
      </c>
      <c r="Y9" s="30" t="s">
        <v>29</v>
      </c>
    </row>
    <row r="10" spans="1:25" ht="15.75" thickBot="1">
      <c r="A10" s="31"/>
      <c r="B10" s="32"/>
      <c r="C10" s="32"/>
      <c r="D10" s="33"/>
      <c r="E10" s="34"/>
      <c r="F10" s="34"/>
      <c r="G10" s="34"/>
      <c r="H10" s="35"/>
      <c r="I10" s="35"/>
      <c r="J10" s="36"/>
      <c r="K10" s="35"/>
      <c r="L10" s="35"/>
      <c r="M10" s="36"/>
      <c r="N10" s="35"/>
      <c r="O10" s="37"/>
      <c r="P10" s="35"/>
      <c r="Q10" s="35"/>
      <c r="R10" s="35"/>
      <c r="S10" s="36"/>
      <c r="T10" s="35"/>
      <c r="U10" s="38"/>
      <c r="V10" s="39"/>
      <c r="W10" s="35"/>
      <c r="X10" s="35"/>
      <c r="Y10" s="40"/>
    </row>
    <row r="11" spans="1:25" ht="15.75" thickBot="1">
      <c r="A11" s="422" t="s">
        <v>34</v>
      </c>
      <c r="B11" s="423" t="str" cm="1">
        <f t="array" aca="1" ref="B11" ca="1">INDIRECT("'" &amp; A11 &amp;"'!"&amp;"E6")</f>
        <v>NVDA</v>
      </c>
      <c r="C11" s="424" t="str">
        <f ca="1">IF(OR(ISERROR(INDIRECT("'" &amp; $A11 &amp; "'!" &amp; "E9")),INDIRECT("'" &amp; $A11 &amp; "'!" &amp;"E9")&lt;0),"NM",INDIRECT("'" &amp; $A11 &amp; "'!" &amp; "E9"))</f>
        <v>USD</v>
      </c>
      <c r="D11" s="425">
        <f ca="1">IF(OR(ISERROR(INDIRECT("'" &amp; $A11 &amp; "'!" &amp; "S5")),INDIRECT("'" &amp; $A11 &amp; "'!" &amp; "S5")&lt;0),"NM",INDIRECT("'" &amp; $A11 &amp; "'!" &amp; "S5"))</f>
        <v>45139</v>
      </c>
      <c r="E11" s="426">
        <f ca="1">IF(OR(ISERROR(INDIRECT("'" &amp; $A11 &amp; "'!" &amp; "T5")),INDIRECT("'" &amp; $A11 &amp; "'!" &amp; "T5")&lt;0),"NM",INDIRECT("'" &amp; $A11 &amp; "'!" &amp; "T5"))</f>
        <v>465.07</v>
      </c>
      <c r="F11" s="426">
        <f ca="1">IF(OR(ISERROR(INDIRECT("'" &amp; $A11 &amp; "'!" &amp; "T7")),INDIRECT("'" &amp; $A11 &amp; "'!" &amp; "T7")&lt;0),"NM",INDIRECT("'" &amp; $A11 &amp; "'!" &amp; "T7"))</f>
        <v>480.88</v>
      </c>
      <c r="G11" s="427">
        <f ca="1">E11/F11</f>
        <v>0.96712277491266008</v>
      </c>
      <c r="H11" s="428">
        <f ca="1">IF(OR(ISERROR(INDIRECT("'" &amp; $A11 &amp; "'!" &amp; "T11")),INDIRECT("'" &amp; $A11 &amp; "'!" &amp; "T11")&lt;0),"NM",INDIRECT("'" &amp; $A11 &amp; "'!" &amp; "T11"))</f>
        <v>1170573.6100000001</v>
      </c>
      <c r="I11" s="429">
        <f ca="1">IF(OR(ISERROR(INDIRECT("'" &amp; $A11 &amp; "'!" &amp; "T17")),INDIRECT("'" &amp; $A11 &amp; "'!" &amp; "T17")&lt;0),"NM",INDIRECT("'" &amp; $A11 &amp; "'!" &amp; "T17"))</f>
        <v>1164957.6100000001</v>
      </c>
      <c r="J11" s="430">
        <f ca="1">IF(OR(ISERROR(INDIRECT("'" &amp; $A11 &amp; "'!" &amp; "R49")),INDIRECT("'" &amp; $A11 &amp; "'!" &amp; "R49")&lt;0),"NM",INDIRECT("'" &amp; $A11 &amp; "'!" &amp; "R49"))</f>
        <v>45.017296931756711</v>
      </c>
      <c r="K11" s="430">
        <f ca="1">IF(OR(ISERROR(INDIRECT("'" &amp; $A11 &amp; "'!" &amp; "S49")),INDIRECT("'" &amp; $A11 &amp; "'!" &amp; "S49")&lt;0),"NM",INDIRECT("'" &amp; $A11 &amp; "'!" &amp; "S49"))</f>
        <v>28.43188480516973</v>
      </c>
      <c r="L11" s="431">
        <f ca="1">IF(OR(ISERROR(INDIRECT("'" &amp; $A11 &amp; "'!" &amp; "T49")),INDIRECT("'" &amp; $A11 &amp; "'!" &amp; "T49")&lt;0),"NM",INDIRECT("'" &amp; $A11 &amp; "'!" &amp; "T49"))</f>
        <v>18.104247886476475</v>
      </c>
      <c r="M11" s="430">
        <f ca="1">IF(OR(ISERROR(INDIRECT("'" &amp; $A11 &amp; "'!" &amp; "R50")),INDIRECT("'" &amp; $A11 &amp; "'!" &amp; "R50")&lt;0),"NM",INDIRECT("'" &amp; $A11 &amp; "'!" &amp; "R50"))</f>
        <v>130.07565989280931</v>
      </c>
      <c r="N11" s="430">
        <f ca="1">IF(OR(ISERROR(INDIRECT("'" &amp; $A11 &amp; "'!" &amp; "S50")),INDIRECT("'" &amp; $A11 &amp; "'!" &amp; "S50")&lt;0),"NM",INDIRECT("'" &amp; $A11 &amp; "'!" &amp; "S50"))</f>
        <v>162.04536526300208</v>
      </c>
      <c r="O11" s="431">
        <f ca="1">IF(OR(ISERROR(INDIRECT("'" &amp; $A11 &amp; "'!" &amp; "T50")),INDIRECT("'" &amp; $A11 &amp; "'!" &amp; "T50")&lt;0),"NM",INDIRECT("'" &amp; $A11 &amp; "'!" &amp; "T50"))</f>
        <v>135.02786139091884</v>
      </c>
      <c r="P11" s="430">
        <f ca="1">IF(OR(ISERROR(INDIRECT("'" &amp; $A11 &amp; "'!" &amp; "R51")),INDIRECT("'" &amp; $A11 &amp; "'!" &amp; "R51")&lt;0),"NM",INDIRECT("'" &amp; $A11 &amp; "'!" &amp; "R51"))</f>
        <v>158.23928416191254</v>
      </c>
      <c r="Q11" s="430">
        <f ca="1">IF(OR(ISERROR(INDIRECT("'" &amp; $A11 &amp; "'!" &amp; "S51")),INDIRECT("'" &amp; $A11 &amp; "'!" &amp; "S51")&lt;0),"NM",INDIRECT("'" &amp; $A11 &amp; "'!" &amp; "S51"))</f>
        <v>206.36677487487785</v>
      </c>
      <c r="R11" s="431">
        <f ca="1">IF(OR(ISERROR(INDIRECT("'" &amp; $A11 &amp; "'!" &amp; "T51")),INDIRECT("'" &amp; $A11 &amp; "'!" &amp; "T51")&lt;0),"NM",INDIRECT("'" &amp; $A11 &amp; "'!" &amp; "T51"))</f>
        <v>164.45991979610605</v>
      </c>
      <c r="S11" s="430">
        <f ca="1">IF(OR(ISERROR(INDIRECT("'" &amp; $A11 &amp; "'!" &amp; "R52")),INDIRECT("'" &amp; $A11 &amp; "'!" &amp; "R52")&lt;0),"NM",INDIRECT("'" &amp; $A11 &amp; "'!" &amp; "R52"))</f>
        <v>162.11555956095529</v>
      </c>
      <c r="T11" s="430">
        <f ca="1">IF(OR(ISERROR(INDIRECT("'" &amp; $A11 &amp; "'!" &amp; "S52")),INDIRECT("'" &amp; $A11 &amp; "'!" &amp; "S52")&lt;0),"NM",INDIRECT("'" &amp; $A11 &amp; "'!" &amp; "S52"))</f>
        <v>78.178675943964592</v>
      </c>
      <c r="U11" s="430">
        <f ca="1">IF(OR(ISERROR(INDIRECT("'" &amp; $A11 &amp; "'!" &amp; "T52")),INDIRECT("'" &amp; $A11 &amp; "'!" &amp; "T52")&lt;0),"NM",INDIRECT("'" &amp; $A11 &amp; "'!" &amp; "T52"))</f>
        <v>48.398658242428738</v>
      </c>
      <c r="V11" s="432">
        <f ca="1">IF(OR(ISERROR(INDIRECT("'" &amp; $A11 &amp; "'!" &amp; "R53")),INDIRECT("'" &amp; $A11 &amp; "'!" &amp; "R53")&lt;0),"NM",INDIRECT("'" &amp; $A11 &amp; "'!" &amp; "R53"))</f>
        <v>229.47924132523036</v>
      </c>
      <c r="W11" s="427">
        <f ca="1">IF(OR(ISERROR(INDIRECT("'" &amp; $A11 &amp; "'!" &amp; "T73")),INDIRECT("'" &amp; $A11 &amp; "'!" &amp; "T73")&lt;0),"NM",INDIRECT("'" &amp; $A11 &amp; "'!" &amp; "T73"))</f>
        <v>8.2217945318813594E-3</v>
      </c>
      <c r="X11" s="430">
        <f ca="1">IF(OR(ISERROR(INDIRECT("'" &amp; $A11 &amp; "'!" &amp; "T74")),INDIRECT("'" &amp; $A11 &amp; "'!" &amp; "T74")&lt;0),"NM",INDIRECT("'" &amp; $A11 &amp; "'!" &amp; "T74"))</f>
        <v>1.0835194283162126</v>
      </c>
      <c r="Y11" s="433" t="str">
        <f ca="1">IF(OR(ISERROR(INDIRECT("'" &amp; $A11 &amp; "'!" &amp; "T75")),INDIRECT("'" &amp; $A11 &amp; "'!" &amp; "T75")&lt;0),"NM",INDIRECT("'" &amp; $A11 &amp; "'!" &amp; "T75"))</f>
        <v>NM</v>
      </c>
    </row>
    <row r="12" spans="1:25" ht="15.75" thickBot="1">
      <c r="A12" s="434" t="s">
        <v>35</v>
      </c>
      <c r="B12" s="44" t="str" cm="1">
        <f t="array" aca="1" ref="B12" ca="1">INDIRECT("'" &amp; A12 &amp;"'!"&amp;"E6")</f>
        <v>AMD</v>
      </c>
      <c r="C12" s="54" t="str">
        <f ca="1">IF(OR(ISERROR(INDIRECT("'" &amp; $A12 &amp; "'!" &amp; "E9")),INDIRECT("'" &amp; $A12 &amp; "'!" &amp;"E9")&lt;0),"NM",INDIRECT("'" &amp; $A12 &amp; "'!" &amp; "E9"))</f>
        <v>USD</v>
      </c>
      <c r="D12" s="416">
        <f ca="1">IF(OR(ISERROR(INDIRECT("'" &amp; $A12 &amp; "'!" &amp; "S5")),INDIRECT("'" &amp; $A12 &amp; "'!" &amp; "S5")&lt;0),"NM",INDIRECT("'" &amp; $A12 &amp; "'!" &amp; "S5"))</f>
        <v>45139</v>
      </c>
      <c r="E12" s="417">
        <f ca="1">IF(OR(ISERROR(INDIRECT("'" &amp; $A12 &amp; "'!" &amp; "T5")),INDIRECT("'" &amp; $A12 &amp; "'!" &amp; "T5")&lt;0),"NM",INDIRECT("'" &amp; $A12 &amp; "'!" &amp; "T5"))</f>
        <v>117.6</v>
      </c>
      <c r="F12" s="417">
        <f ca="1">IF(OR(ISERROR(INDIRECT("'" &amp; $A12 &amp; "'!" &amp; "T7")),INDIRECT("'" &amp; $A12 &amp; "'!" &amp; "T7")&lt;0),"NM",INDIRECT("'" &amp; $A12 &amp; "'!" &amp; "T7"))</f>
        <v>132.83000000000001</v>
      </c>
      <c r="G12" s="45">
        <f t="shared" ref="G12:G14" ca="1" si="0">E12/F12</f>
        <v>0.88534216667921395</v>
      </c>
      <c r="H12" s="418">
        <f ca="1">IF(OR(ISERROR(INDIRECT("'" &amp; $A12 &amp; "'!" &amp; "T11")),INDIRECT("'" &amp; $A12 &amp; "'!" &amp; "T11")&lt;0),"NM",INDIRECT("'" &amp; $A12 &amp; "'!" &amp; "T11"))</f>
        <v>193207.55591199998</v>
      </c>
      <c r="I12" s="420">
        <f ca="1">IF(OR(ISERROR(INDIRECT("'" &amp; $A12 &amp; "'!" &amp; "T17")),INDIRECT("'" &amp; $A12 &amp; "'!" &amp; "T17")&lt;0),"NM",INDIRECT("'" &amp; $A12 &amp; "'!" &amp; "T17"))</f>
        <v>188636.55591199998</v>
      </c>
      <c r="J12" s="47">
        <f ca="1">IF(OR(ISERROR(INDIRECT("'" &amp; $A12 &amp; "'!" &amp; "R49")),INDIRECT("'" &amp; $A12 &amp; "'!" &amp; "R49")&lt;0),"NM",INDIRECT("'" &amp; $A12 &amp; "'!" &amp; "R49"))</f>
        <v>8.6229912192356917</v>
      </c>
      <c r="K12" s="47">
        <f ca="1">IF(OR(ISERROR(INDIRECT("'" &amp; $A12 &amp; "'!" &amp; "S49")),INDIRECT("'" &amp; $A12 &amp; "'!" &amp; "S49")&lt;0),"NM",INDIRECT("'" &amp; $A12 &amp; "'!" &amp; "S49"))</f>
        <v>5.1245305183494549</v>
      </c>
      <c r="L12" s="48">
        <f ca="1">IF(OR(ISERROR(INDIRECT("'" &amp; $A12 &amp; "'!" &amp; "T49")),INDIRECT("'" &amp; $A12 &amp; "'!" &amp; "T49")&lt;0),"NM",INDIRECT("'" &amp; $A12 &amp; "'!" &amp; "T49"))</f>
        <v>3.2855850522029537</v>
      </c>
      <c r="M12" s="47">
        <f ca="1">IF(OR(ISERROR(INDIRECT("'" &amp; $A12 &amp; "'!" &amp; "R50")),INDIRECT("'" &amp; $A12 &amp; "'!" &amp; "R50")&lt;0),"NM",INDIRECT("'" &amp; $A12 &amp; "'!" &amp; "R50"))</f>
        <v>37.096667829301865</v>
      </c>
      <c r="N12" s="47">
        <f ca="1">IF(OR(ISERROR(INDIRECT("'" &amp; $A12 &amp; "'!" &amp; "S50")),INDIRECT("'" &amp; $A12 &amp; "'!" &amp; "S50")&lt;0),"NM",INDIRECT("'" &amp; $A12 &amp; "'!" &amp; "S50"))</f>
        <v>30.695259570192604</v>
      </c>
      <c r="O12" s="48">
        <f ca="1">IF(OR(ISERROR(INDIRECT("'" &amp; $A12 &amp; "'!" &amp; "T50")),INDIRECT("'" &amp; $A12 &amp; "'!" &amp; "T50")&lt;0),"NM",INDIRECT("'" &amp; $A12 &amp; "'!" &amp; "T50"))</f>
        <v>26.02281364833247</v>
      </c>
      <c r="P12" s="47">
        <f ca="1">IF(OR(ISERROR(INDIRECT("'" &amp; $A12 &amp; "'!" &amp; "R51")),INDIRECT("'" &amp; $A12 &amp; "'!" &amp; "R51")&lt;0),"NM",INDIRECT("'" &amp; $A12 &amp; "'!" &amp; "R51"))</f>
        <v>217.0731368377445</v>
      </c>
      <c r="Q12" s="47">
        <f ca="1">IF(OR(ISERROR(INDIRECT("'" &amp; $A12 &amp; "'!" &amp; "S51")),INDIRECT("'" &amp; $A12 &amp; "'!" &amp; "S51")&lt;0),"NM",INDIRECT("'" &amp; $A12 &amp; "'!" &amp; "S51"))</f>
        <v>95.683579718010705</v>
      </c>
      <c r="R12" s="48">
        <f ca="1">IF(OR(ISERROR(INDIRECT("'" &amp; $A12 &amp; "'!" &amp; "T51")),INDIRECT("'" &amp; $A12 &amp; "'!" &amp; "T51")&lt;0),"NM",INDIRECT("'" &amp; $A12 &amp; "'!" &amp; "T51"))</f>
        <v>61.347383557786301</v>
      </c>
      <c r="S12" s="47">
        <f ca="1">IF(OR(ISERROR(INDIRECT("'" &amp; $A12 &amp; "'!" &amp; "R52")),INDIRECT("'" &amp; $A12 &amp; "'!" &amp; "R52")&lt;0),"NM",INDIRECT("'" &amp; $A12 &amp; "'!" &amp; "R52"))</f>
        <v>203.56743357670317</v>
      </c>
      <c r="T12" s="47">
        <f ca="1">IF(OR(ISERROR(INDIRECT("'" &amp; $A12 &amp; "'!" &amp; "S52")),INDIRECT("'" &amp; $A12 &amp; "'!" &amp; "S52")&lt;0),"NM",INDIRECT("'" &amp; $A12 &amp; "'!" &amp; "S52"))</f>
        <v>42.608695652173914</v>
      </c>
      <c r="U12" s="47">
        <f ca="1">IF(OR(ISERROR(INDIRECT("'" &amp; $A12 &amp; "'!" &amp; "T52")),INDIRECT("'" &amp; $A12 &amp; "'!" &amp; "T52")&lt;0),"NM",INDIRECT("'" &amp; $A12 &amp; "'!" &amp; "T52"))</f>
        <v>28.269230769230766</v>
      </c>
      <c r="V12" s="419">
        <f ca="1">IF(OR(ISERROR(INDIRECT("'" &amp; $A12 &amp; "'!" &amp; "R53")),INDIRECT("'" &amp; $A12 &amp; "'!" &amp; "R53")&lt;0),"NM",INDIRECT("'" &amp; $A12 &amp; "'!" &amp; "R53"))</f>
        <v>103.48556824424209</v>
      </c>
      <c r="W12" s="45">
        <f ca="1">IF(OR(ISERROR(INDIRECT("'" &amp; $A12 &amp; "'!" &amp; "T73")),INDIRECT("'" &amp; $A12 &amp; "'!" &amp; "T73")&lt;0),"NM",INDIRECT("'" &amp; $A12 &amp; "'!" &amp; "T73"))</f>
        <v>8.7932809277071894E-3</v>
      </c>
      <c r="X12" s="47">
        <f ca="1">IF(OR(ISERROR(INDIRECT("'" &amp; $A12 &amp; "'!" &amp; "T74")),INDIRECT("'" &amp; $A12 &amp; "'!" &amp; "T74")&lt;0),"NM",INDIRECT("'" &amp; $A12 &amp; "'!" &amp; "T74"))</f>
        <v>0.33706981317600787</v>
      </c>
      <c r="Y12" s="421" t="str">
        <f ca="1">IF(OR(ISERROR(INDIRECT("'" &amp; $A12 &amp; "'!" &amp; "T75")),INDIRECT("'" &amp; $A12 &amp; "'!" &amp; "T75")&lt;0),"NM",INDIRECT("'" &amp; $A12 &amp; "'!" &amp; "T75"))</f>
        <v>NM</v>
      </c>
    </row>
    <row r="13" spans="1:25" ht="15.75" thickBot="1">
      <c r="A13" s="436" t="s">
        <v>36</v>
      </c>
      <c r="B13" s="44" t="str" cm="1">
        <f t="array" aca="1" ref="B13" ca="1">INDIRECT("'" &amp; A13 &amp;"'!"&amp;"E6")</f>
        <v>INTC</v>
      </c>
      <c r="C13" s="54" t="str">
        <f ca="1">IF(OR(ISERROR(INDIRECT("'" &amp; $A13 &amp; "'!" &amp; "E9")),INDIRECT("'" &amp; $A13 &amp; "'!" &amp;"E9")&lt;0),"NM",INDIRECT("'" &amp; $A13 &amp; "'!" &amp; "E9"))</f>
        <v>USD</v>
      </c>
      <c r="D13" s="416">
        <f ca="1">IF(OR(ISERROR(INDIRECT("'" &amp; $A13 &amp; "'!" &amp; "S5")),INDIRECT("'" &amp; $A13 &amp; "'!" &amp; "S5")&lt;0),"NM",INDIRECT("'" &amp; $A13 &amp; "'!" &amp; "S5"))</f>
        <v>45139</v>
      </c>
      <c r="E13" s="417">
        <f ca="1">IF(OR(ISERROR(INDIRECT("'" &amp; $A13 &amp; "'!" &amp; "T5")),INDIRECT("'" &amp; $A13 &amp; "'!" &amp; "T5")&lt;0),"NM",INDIRECT("'" &amp; $A13 &amp; "'!" &amp; "T5"))</f>
        <v>35.799999999999997</v>
      </c>
      <c r="F13" s="417">
        <f ca="1">IF(OR(ISERROR(INDIRECT("'" &amp; $A13 &amp; "'!" &amp; "T7")),INDIRECT("'" &amp; $A13 &amp; "'!" &amp; "T7")&lt;0),"NM",INDIRECT("'" &amp; $A13 &amp; "'!" &amp; "T7"))</f>
        <v>40.42</v>
      </c>
      <c r="G13" s="45">
        <f t="shared" ca="1" si="0"/>
        <v>0.88570014844136558</v>
      </c>
      <c r="H13" s="418">
        <f ca="1">IF(OR(ISERROR(INDIRECT("'" &amp; $A13 &amp; "'!" &amp; "T11")),INDIRECT("'" &amp; $A13 &amp; "'!" &amp; "T11")&lt;0),"NM",INDIRECT("'" &amp; $A13 &amp; "'!" &amp; "T11"))</f>
        <v>154323.05999999997</v>
      </c>
      <c r="I13" s="420">
        <f ca="1">IF(OR(ISERROR(INDIRECT("'" &amp; $A13 &amp; "'!" &amp; "T17")),INDIRECT("'" &amp; $A13 &amp; "'!" &amp; "T17")&lt;0),"NM",INDIRECT("'" &amp; $A13 &amp; "'!" &amp; "T17"))</f>
        <v>176401.05999999997</v>
      </c>
      <c r="J13" s="47">
        <f ca="1">IF(OR(ISERROR(INDIRECT("'" &amp; $A13 &amp; "'!" &amp; "R49")),INDIRECT("'" &amp; $A13 &amp; "'!" &amp; "R49")&lt;0),"NM",INDIRECT("'" &amp; $A13 &amp; "'!" &amp; "R49"))</f>
        <v>3.2640267189697276</v>
      </c>
      <c r="K13" s="47">
        <f ca="1">IF(OR(ISERROR(INDIRECT("'" &amp; $A13 &amp; "'!" &amp; "S49")),INDIRECT("'" &amp; $A13 &amp; "'!" &amp; "S49")&lt;0),"NM",INDIRECT("'" &amp; $A13 &amp; "'!" &amp; "S49"))</f>
        <v>3.086571046645926</v>
      </c>
      <c r="L13" s="48">
        <f ca="1">IF(OR(ISERROR(INDIRECT("'" &amp; $A13 &amp; "'!" &amp; "T49")),INDIRECT("'" &amp; $A13 &amp; "'!" &amp; "T49")&lt;0),"NM",INDIRECT("'" &amp; $A13 &amp; "'!" &amp; "T49"))</f>
        <v>3.4053676648097131</v>
      </c>
      <c r="M13" s="47">
        <f ca="1">IF(OR(ISERROR(INDIRECT("'" &amp; $A13 &amp; "'!" &amp; "R50")),INDIRECT("'" &amp; $A13 &amp; "'!" &amp; "R50")&lt;0),"NM",INDIRECT("'" &amp; $A13 &amp; "'!" &amp; "R50"))</f>
        <v>232.41246376811591</v>
      </c>
      <c r="N13" s="47">
        <f ca="1">IF(OR(ISERROR(INDIRECT("'" &amp; $A13 &amp; "'!" &amp; "S50")),INDIRECT("'" &amp; $A13 &amp; "'!" &amp; "S50")&lt;0),"NM",INDIRECT("'" &amp; $A13 &amp; "'!" &amp; "S50"))</f>
        <v>34.249304850510882</v>
      </c>
      <c r="O13" s="48">
        <f ca="1">IF(OR(ISERROR(INDIRECT("'" &amp; $A13 &amp; "'!" &amp; "T50")),INDIRECT("'" &amp; $A13 &amp; "'!" &amp; "T50")&lt;0),"NM",INDIRECT("'" &amp; $A13 &amp; "'!" &amp; "T50"))</f>
        <v>35.61890552369286</v>
      </c>
      <c r="P13" s="47" t="str">
        <f ca="1">IF(OR(ISERROR(INDIRECT("'" &amp; $A13 &amp; "'!" &amp; "R51")),INDIRECT("'" &amp; $A13 &amp; "'!" &amp; "R51")&lt;0),"NM",INDIRECT("'" &amp; $A13 &amp; "'!" &amp; "R51"))</f>
        <v>NM</v>
      </c>
      <c r="Q13" s="47">
        <f ca="1">IF(OR(ISERROR(INDIRECT("'" &amp; $A13 &amp; "'!" &amp; "S51")),INDIRECT("'" &amp; $A13 &amp; "'!" &amp; "S51")&lt;0),"NM",INDIRECT("'" &amp; $A13 &amp; "'!" &amp; "S51"))</f>
        <v>83.385026039079619</v>
      </c>
      <c r="R13" s="48">
        <f ca="1">IF(OR(ISERROR(INDIRECT("'" &amp; $A13 &amp; "'!" &amp; "T51")),INDIRECT("'" &amp; $A13 &amp; "'!" &amp; "T51")&lt;0),"NM",INDIRECT("'" &amp; $A13 &amp; "'!" &amp; "T51"))</f>
        <v>91.997451900990185</v>
      </c>
      <c r="S13" s="47">
        <f ca="1">IF(OR(ISERROR(INDIRECT("'" &amp; $A13 &amp; "'!" &amp; "R52")),INDIRECT("'" &amp; $A13 &amp; "'!" &amp; "R52")&lt;0),"NM",INDIRECT("'" &amp; $A13 &amp; "'!" &amp; "R52"))</f>
        <v>86.587958318594843</v>
      </c>
      <c r="T13" s="47">
        <f ca="1">IF(OR(ISERROR(INDIRECT("'" &amp; $A13 &amp; "'!" &amp; "S52")),INDIRECT("'" &amp; $A13 &amp; "'!" &amp; "S52")&lt;0),"NM",INDIRECT("'" &amp; $A13 &amp; "'!" &amp; "S52"))</f>
        <v>56.825396825396822</v>
      </c>
      <c r="U13" s="47">
        <f ca="1">IF(OR(ISERROR(INDIRECT("'" &amp; $A13 &amp; "'!" &amp; "T52")),INDIRECT("'" &amp; $A13 &amp; "'!" &amp; "T52")&lt;0),"NM",INDIRECT("'" &amp; $A13 &amp; "'!" &amp; "T52"))</f>
        <v>20.693641618497107</v>
      </c>
      <c r="V13" s="419" t="str">
        <f ca="1">IF(OR(ISERROR(INDIRECT("'" &amp; $A13 &amp; "'!" &amp; "R53")),INDIRECT("'" &amp; $A13 &amp; "'!" &amp; "R53")&lt;0),"NM",INDIRECT("'" &amp; $A13 &amp; "'!" &amp; "R53"))</f>
        <v>NM</v>
      </c>
      <c r="W13" s="45">
        <f ca="1">IF(OR(ISERROR(INDIRECT("'" &amp; $A13 &amp; "'!" &amp; "T73")),INDIRECT("'" &amp; $A13 &amp; "'!" &amp; "T73")&lt;0),"NM",INDIRECT("'" &amp; $A13 &amp; "'!" &amp; "T73"))</f>
        <v>0.2309152196527765</v>
      </c>
      <c r="X13" s="47">
        <f ca="1">IF(OR(ISERROR(INDIRECT("'" &amp; $A13 &amp; "'!" &amp; "T74")),INDIRECT("'" &amp; $A13 &amp; "'!" &amp; "T74")&lt;0),"NM",INDIRECT("'" &amp; $A13 &amp; "'!" &amp; "T74"))</f>
        <v>61.047430830039524</v>
      </c>
      <c r="Y13" s="421" t="str">
        <f ca="1">IF(OR(ISERROR(INDIRECT("'" &amp; $A13 &amp; "'!" &amp; "T75")),INDIRECT("'" &amp; $A13 &amp; "'!" &amp; "T75")&lt;0),"NM",INDIRECT("'" &amp; $A13 &amp; "'!" &amp; "T75"))</f>
        <v>NM</v>
      </c>
    </row>
    <row r="14" spans="1:25" ht="15.75" thickBot="1">
      <c r="A14" s="435" t="s">
        <v>37</v>
      </c>
      <c r="B14" s="44" t="str" cm="1">
        <f t="array" aca="1" ref="B14" ca="1">INDIRECT("'" &amp; A14 &amp;"'!"&amp;"E6")</f>
        <v>QCOM</v>
      </c>
      <c r="C14" s="54" t="str">
        <f ca="1">IF(OR(ISERROR(INDIRECT("'" &amp; $A14 &amp; "'!" &amp; "E9")),INDIRECT("'" &amp; $A14 &amp; "'!" &amp;"E9")&lt;0),"NM",INDIRECT("'" &amp; $A14 &amp; "'!" &amp; "E9"))</f>
        <v>USD</v>
      </c>
      <c r="D14" s="416">
        <f ca="1">IF(OR(ISERROR(INDIRECT("'" &amp; $A14 &amp; "'!" &amp; "S5")),INDIRECT("'" &amp; $A14 &amp; "'!" &amp; "S5")&lt;0),"NM",INDIRECT("'" &amp; $A14 &amp; "'!" &amp; "S5"))</f>
        <v>45139</v>
      </c>
      <c r="E14" s="417">
        <f ca="1">IF(OR(ISERROR(INDIRECT("'" &amp; $A14 &amp; "'!" &amp; "T5")),INDIRECT("'" &amp; $A14 &amp; "'!" &amp; "T5")&lt;0),"NM",INDIRECT("'" &amp; $A14 &amp; "'!" &amp; "T5"))</f>
        <v>132.08000000000001</v>
      </c>
      <c r="F14" s="417">
        <f ca="1">IF(OR(ISERROR(INDIRECT("'" &amp; $A14 &amp; "'!" &amp; "T7")),INDIRECT("'" &amp; $A14 &amp; "'!" &amp; "T7")&lt;0),"NM",INDIRECT("'" &amp; $A14 &amp; "'!" &amp; "T7"))</f>
        <v>152.91</v>
      </c>
      <c r="G14" s="45">
        <f t="shared" ca="1" si="0"/>
        <v>0.8637760774311688</v>
      </c>
      <c r="H14" s="418">
        <f ca="1">IF(OR(ISERROR(INDIRECT("'" &amp; $A14 &amp; "'!" &amp; "T11")),INDIRECT("'" &amp; $A14 &amp; "'!" &amp; "T11")&lt;0),"NM",INDIRECT("'" &amp; $A14 &amp; "'!" &amp; "T11"))</f>
        <v>151099.52000000002</v>
      </c>
      <c r="I14" s="420">
        <f ca="1">IF(OR(ISERROR(INDIRECT("'" &amp; $A14 &amp; "'!" &amp; "T17")),INDIRECT("'" &amp; $A14 &amp; "'!" &amp; "T17")&lt;0),"NM",INDIRECT("'" &amp; $A14 &amp; "'!" &amp; "T17"))</f>
        <v>156998.52000000002</v>
      </c>
      <c r="J14" s="47">
        <f ca="1">IF(OR(ISERROR(INDIRECT("'" &amp; $A14 &amp; "'!" &amp; "R49")),INDIRECT("'" &amp; $A14 &amp; "'!" &amp; "R49")&lt;0),"NM",INDIRECT("'" &amp; $A14 &amp; "'!" &amp; "R49"))</f>
        <v>4.06900580551524</v>
      </c>
      <c r="K14" s="47">
        <f ca="1">IF(OR(ISERROR(INDIRECT("'" &amp; $A14 &amp; "'!" &amp; "S49")),INDIRECT("'" &amp; $A14 &amp; "'!" &amp; "S49")&lt;0),"NM",INDIRECT("'" &amp; $A14 &amp; "'!" &amp; "S49"))</f>
        <v>2.3678164240757997</v>
      </c>
      <c r="L14" s="48">
        <f ca="1">IF(OR(ISERROR(INDIRECT("'" &amp; $A14 &amp; "'!" &amp; "T49")),INDIRECT("'" &amp; $A14 &amp; "'!" &amp; "T49")&lt;0),"NM",INDIRECT("'" &amp; $A14 &amp; "'!" &amp; "T49"))</f>
        <v>1.726274611912868</v>
      </c>
      <c r="M14" s="47">
        <f ca="1">IF(OR(ISERROR(INDIRECT("'" &amp; $A14 &amp; "'!" &amp; "R50")),INDIRECT("'" &amp; $A14 &amp; "'!" &amp; "R50")&lt;0),"NM",INDIRECT("'" &amp; $A14 &amp; "'!" &amp; "R50"))</f>
        <v>10.99583415044124</v>
      </c>
      <c r="N14" s="47">
        <f ca="1">IF(OR(ISERROR(INDIRECT("'" &amp; $A14 &amp; "'!" &amp; "S50")),INDIRECT("'" &amp; $A14 &amp; "'!" &amp; "S50")&lt;0),"NM",INDIRECT("'" &amp; $A14 &amp; "'!" &amp; "S50"))</f>
        <v>6.14382734877407</v>
      </c>
      <c r="O14" s="48">
        <f ca="1">IF(OR(ISERROR(INDIRECT("'" &amp; $A14 &amp; "'!" &amp; "T50")),INDIRECT("'" &amp; $A14 &amp; "'!" &amp; "T50")&lt;0),"NM",INDIRECT("'" &amp; $A14 &amp; "'!" &amp; "T50"))</f>
        <v>4.5644783149861894</v>
      </c>
      <c r="P14" s="47">
        <f ca="1">IF(OR(ISERROR(INDIRECT("'" &amp; $A14 &amp; "'!" &amp; "R51")),INDIRECT("'" &amp; $A14 &amp; "'!" &amp; "R51")&lt;0),"NM",INDIRECT("'" &amp; $A14 &amp; "'!" &amp; "R51"))</f>
        <v>12.619445382204004</v>
      </c>
      <c r="Q14" s="47">
        <f ca="1">IF(OR(ISERROR(INDIRECT("'" &amp; $A14 &amp; "'!" &amp; "S51")),INDIRECT("'" &amp; $A14 &amp; "'!" &amp; "S51")&lt;0),"NM",INDIRECT("'" &amp; $A14 &amp; "'!" &amp; "S51"))</f>
        <v>6.5988326572604246</v>
      </c>
      <c r="R14" s="48">
        <f ca="1">IF(OR(ISERROR(INDIRECT("'" &amp; $A14 &amp; "'!" &amp; "T51")),INDIRECT("'" &amp; $A14 &amp; "'!" &amp; "T51")&lt;0),"NM",INDIRECT("'" &amp; $A14 &amp; "'!" &amp; "T51"))</f>
        <v>4.810929246314549</v>
      </c>
      <c r="S14" s="47">
        <f ca="1">IF(OR(ISERROR(INDIRECT("'" &amp; $A14 &amp; "'!" &amp; "R52")),INDIRECT("'" &amp; $A14 &amp; "'!" &amp; "R52")&lt;0),"NM",INDIRECT("'" &amp; $A14 &amp; "'!" &amp; "R52"))</f>
        <v>14.127238279395128</v>
      </c>
      <c r="T14" s="47">
        <f ca="1">IF(OR(ISERROR(INDIRECT("'" &amp; $A14 &amp; "'!" &amp; "S52")),INDIRECT("'" &amp; $A14 &amp; "'!" &amp; "S52")&lt;0),"NM",INDIRECT("'" &amp; $A14 &amp; "'!" &amp; "S52"))</f>
        <v>15.458355378128358</v>
      </c>
      <c r="U14" s="47">
        <f ca="1">IF(OR(ISERROR(INDIRECT("'" &amp; $A14 &amp; "'!" &amp; "T52")),INDIRECT("'" &amp; $A14 &amp; "'!" &amp; "T52")&lt;0),"NM",INDIRECT("'" &amp; $A14 &amp; "'!" &amp; "T52"))</f>
        <v>14.108881045613913</v>
      </c>
      <c r="V14" s="419">
        <f ca="1">IF(OR(ISERROR(INDIRECT("'" &amp; $A14 &amp; "'!" &amp; "R53")),INDIRECT("'" &amp; $A14 &amp; "'!" &amp; "R53")&lt;0),"NM",INDIRECT("'" &amp; $A14 &amp; "'!" &amp; "R53"))</f>
        <v>22.013333333333335</v>
      </c>
      <c r="W14" s="45">
        <f ca="1">IF(OR(ISERROR(INDIRECT("'" &amp; $A14 &amp; "'!" &amp; "T73")),INDIRECT("'" &amp; $A14 &amp; "'!" &amp; "T73")&lt;0),"NM",INDIRECT("'" &amp; $A14 &amp; "'!" &amp; "T73"))</f>
        <v>8.7725907797112479E-2</v>
      </c>
      <c r="X14" s="47">
        <f ca="1">IF(OR(ISERROR(INDIRECT("'" &amp; $A14 &amp; "'!" &amp; "T74")),INDIRECT("'" &amp; $A14 &amp; "'!" &amp; "T74")&lt;0),"NM",INDIRECT("'" &amp; $A14 &amp; "'!" &amp; "T74"))</f>
        <v>1.0176495307466031</v>
      </c>
      <c r="Y14" s="421" t="str">
        <f ca="1">IF(OR(ISERROR(INDIRECT("'" &amp; $A14 &amp; "'!" &amp; "T75")),INDIRECT("'" &amp; $A14 &amp; "'!" &amp; "T75")&lt;0),"NM",INDIRECT("'" &amp; $A14 &amp; "'!" &amp; "T75"))</f>
        <v>NM</v>
      </c>
    </row>
    <row r="15" spans="1:25" ht="15.75" thickBot="1">
      <c r="A15" s="49"/>
      <c r="B15" s="44"/>
      <c r="C15" s="44"/>
      <c r="D15" s="50"/>
      <c r="E15" s="51"/>
      <c r="F15" s="51"/>
      <c r="G15" s="44"/>
      <c r="H15" s="52"/>
      <c r="I15" s="52"/>
      <c r="J15" s="53"/>
      <c r="K15" s="44"/>
      <c r="L15" s="44"/>
      <c r="M15" s="53"/>
      <c r="N15" s="44"/>
      <c r="O15" s="54"/>
      <c r="P15" s="44"/>
      <c r="Q15" s="44"/>
      <c r="R15" s="44"/>
      <c r="S15" s="53"/>
      <c r="T15" s="44"/>
      <c r="U15" s="44"/>
      <c r="V15" s="55"/>
      <c r="W15" s="44"/>
      <c r="X15" s="44"/>
      <c r="Y15" s="56"/>
    </row>
    <row r="16" spans="1:25">
      <c r="A16" s="57" t="s">
        <v>26</v>
      </c>
      <c r="B16" s="58"/>
      <c r="C16" s="58"/>
      <c r="D16" s="59"/>
      <c r="E16" s="59"/>
      <c r="F16" s="59"/>
      <c r="G16" s="60"/>
      <c r="H16" s="61"/>
      <c r="I16" s="61"/>
      <c r="J16" s="62">
        <f t="shared" ref="J16:Y16" ca="1" si="1">MAX(J11:J14)</f>
        <v>45.017296931756711</v>
      </c>
      <c r="K16" s="63">
        <f t="shared" ca="1" si="1"/>
        <v>28.43188480516973</v>
      </c>
      <c r="L16" s="64">
        <f t="shared" ca="1" si="1"/>
        <v>18.104247886476475</v>
      </c>
      <c r="M16" s="63">
        <f t="shared" ca="1" si="1"/>
        <v>232.41246376811591</v>
      </c>
      <c r="N16" s="63">
        <f t="shared" ca="1" si="1"/>
        <v>162.04536526300208</v>
      </c>
      <c r="O16" s="64">
        <f t="shared" ca="1" si="1"/>
        <v>135.02786139091884</v>
      </c>
      <c r="P16" s="63">
        <f t="shared" ca="1" si="1"/>
        <v>217.0731368377445</v>
      </c>
      <c r="Q16" s="63">
        <f t="shared" ca="1" si="1"/>
        <v>206.36677487487785</v>
      </c>
      <c r="R16" s="63">
        <f t="shared" ca="1" si="1"/>
        <v>164.45991979610605</v>
      </c>
      <c r="S16" s="62">
        <f t="shared" ca="1" si="1"/>
        <v>203.56743357670317</v>
      </c>
      <c r="T16" s="63">
        <f t="shared" ca="1" si="1"/>
        <v>78.178675943964592</v>
      </c>
      <c r="U16" s="63">
        <f t="shared" ca="1" si="1"/>
        <v>48.398658242428738</v>
      </c>
      <c r="V16" s="65">
        <f t="shared" ca="1" si="1"/>
        <v>229.47924132523036</v>
      </c>
      <c r="W16" s="66">
        <f t="shared" ca="1" si="1"/>
        <v>0.2309152196527765</v>
      </c>
      <c r="X16" s="63">
        <f t="shared" ca="1" si="1"/>
        <v>61.047430830039524</v>
      </c>
      <c r="Y16" s="67">
        <f t="shared" ca="1" si="1"/>
        <v>0</v>
      </c>
    </row>
    <row r="17" spans="1:25">
      <c r="A17" s="68" t="s">
        <v>38</v>
      </c>
      <c r="B17" s="69"/>
      <c r="C17" s="69"/>
      <c r="D17" s="70"/>
      <c r="E17" s="70"/>
      <c r="F17" s="70"/>
      <c r="G17" s="45"/>
      <c r="H17" s="71"/>
      <c r="I17" s="71"/>
      <c r="J17" s="46">
        <f t="shared" ref="J17:Y17" ca="1" si="2">MIN(J11:J14)</f>
        <v>3.2640267189697276</v>
      </c>
      <c r="K17" s="47">
        <f t="shared" ca="1" si="2"/>
        <v>2.3678164240757997</v>
      </c>
      <c r="L17" s="48">
        <f t="shared" ca="1" si="2"/>
        <v>1.726274611912868</v>
      </c>
      <c r="M17" s="47">
        <f t="shared" ca="1" si="2"/>
        <v>10.99583415044124</v>
      </c>
      <c r="N17" s="47">
        <f t="shared" ca="1" si="2"/>
        <v>6.14382734877407</v>
      </c>
      <c r="O17" s="48">
        <f t="shared" ca="1" si="2"/>
        <v>4.5644783149861894</v>
      </c>
      <c r="P17" s="47">
        <f t="shared" ca="1" si="2"/>
        <v>12.619445382204004</v>
      </c>
      <c r="Q17" s="47">
        <f t="shared" ca="1" si="2"/>
        <v>6.5988326572604246</v>
      </c>
      <c r="R17" s="47">
        <f t="shared" ca="1" si="2"/>
        <v>4.810929246314549</v>
      </c>
      <c r="S17" s="46">
        <f t="shared" ca="1" si="2"/>
        <v>14.127238279395128</v>
      </c>
      <c r="T17" s="47">
        <f t="shared" ca="1" si="2"/>
        <v>15.458355378128358</v>
      </c>
      <c r="U17" s="47">
        <f t="shared" ca="1" si="2"/>
        <v>14.108881045613913</v>
      </c>
      <c r="V17" s="72">
        <f t="shared" ca="1" si="2"/>
        <v>22.013333333333335</v>
      </c>
      <c r="W17" s="73">
        <f t="shared" ca="1" si="2"/>
        <v>8.2217945318813594E-3</v>
      </c>
      <c r="X17" s="47">
        <f t="shared" ca="1" si="2"/>
        <v>0.33706981317600787</v>
      </c>
      <c r="Y17" s="74">
        <f t="shared" ca="1" si="2"/>
        <v>0</v>
      </c>
    </row>
    <row r="18" spans="1:25">
      <c r="A18" s="75" t="s">
        <v>39</v>
      </c>
      <c r="B18" s="76"/>
      <c r="C18" s="76"/>
      <c r="D18" s="77"/>
      <c r="E18" s="77"/>
      <c r="F18" s="77"/>
      <c r="G18" s="78"/>
      <c r="H18" s="79"/>
      <c r="I18" s="79"/>
      <c r="J18" s="80">
        <f t="shared" ref="J18:Y18" ca="1" si="3">IF(ISERROR(MEDIAN(J11:J14)),"NA",MEDIAN(J11:J14))</f>
        <v>6.3459985123754663</v>
      </c>
      <c r="K18" s="81">
        <f t="shared" ca="1" si="3"/>
        <v>4.1055507824976907</v>
      </c>
      <c r="L18" s="81">
        <f t="shared" ca="1" si="3"/>
        <v>3.3454763585063336</v>
      </c>
      <c r="M18" s="80">
        <f t="shared" ca="1" si="3"/>
        <v>83.586163861055581</v>
      </c>
      <c r="N18" s="81">
        <f t="shared" ca="1" si="3"/>
        <v>32.472282210351743</v>
      </c>
      <c r="O18" s="82">
        <f t="shared" ca="1" si="3"/>
        <v>30.820859586012666</v>
      </c>
      <c r="P18" s="81">
        <f t="shared" ca="1" si="3"/>
        <v>158.23928416191254</v>
      </c>
      <c r="Q18" s="81">
        <f t="shared" ca="1" si="3"/>
        <v>89.534302878545162</v>
      </c>
      <c r="R18" s="81">
        <f t="shared" ca="1" si="3"/>
        <v>76.672417729388243</v>
      </c>
      <c r="S18" s="80">
        <f t="shared" ca="1" si="3"/>
        <v>124.35175893977507</v>
      </c>
      <c r="T18" s="81">
        <f t="shared" ca="1" si="3"/>
        <v>49.717046238785372</v>
      </c>
      <c r="U18" s="81">
        <f t="shared" ca="1" si="3"/>
        <v>24.481436193863935</v>
      </c>
      <c r="V18" s="83">
        <f t="shared" ca="1" si="3"/>
        <v>103.48556824424209</v>
      </c>
      <c r="W18" s="84">
        <f t="shared" ca="1" si="3"/>
        <v>4.8259594362409834E-2</v>
      </c>
      <c r="X18" s="81">
        <f t="shared" ca="1" si="3"/>
        <v>1.0505844795314079</v>
      </c>
      <c r="Y18" s="85" t="str">
        <f t="shared" ca="1" si="3"/>
        <v>NA</v>
      </c>
    </row>
    <row r="19" spans="1:25">
      <c r="A19" s="75" t="s">
        <v>40</v>
      </c>
      <c r="B19" s="76"/>
      <c r="C19" s="76"/>
      <c r="D19" s="77"/>
      <c r="E19" s="77"/>
      <c r="F19" s="77"/>
      <c r="G19" s="78"/>
      <c r="H19" s="79"/>
      <c r="I19" s="79"/>
      <c r="J19" s="80">
        <f t="shared" ref="J19:Y19" ca="1" si="4">IF(ISERROR(AVERAGE(J11:J14)),"NA",AVERAGE(J11:J14))</f>
        <v>15.243330168869344</v>
      </c>
      <c r="K19" s="81">
        <f t="shared" ca="1" si="4"/>
        <v>9.7527006985602274</v>
      </c>
      <c r="L19" s="81">
        <f t="shared" ca="1" si="4"/>
        <v>6.6303688038505024</v>
      </c>
      <c r="M19" s="80">
        <f t="shared" ca="1" si="4"/>
        <v>102.64515641016708</v>
      </c>
      <c r="N19" s="81">
        <f t="shared" ca="1" si="4"/>
        <v>58.283439258119905</v>
      </c>
      <c r="O19" s="82">
        <f t="shared" ca="1" si="4"/>
        <v>50.308514719482588</v>
      </c>
      <c r="P19" s="81">
        <f t="shared" ca="1" si="4"/>
        <v>129.31062212728702</v>
      </c>
      <c r="Q19" s="81">
        <f t="shared" ca="1" si="4"/>
        <v>98.008553322307137</v>
      </c>
      <c r="R19" s="81">
        <f t="shared" ca="1" si="4"/>
        <v>80.653921125299277</v>
      </c>
      <c r="S19" s="80">
        <f t="shared" ca="1" si="4"/>
        <v>116.59954743391211</v>
      </c>
      <c r="T19" s="81">
        <f t="shared" ca="1" si="4"/>
        <v>48.267780949915924</v>
      </c>
      <c r="U19" s="81">
        <f t="shared" ca="1" si="4"/>
        <v>27.86760291894263</v>
      </c>
      <c r="V19" s="83">
        <f t="shared" ca="1" si="4"/>
        <v>118.32604763426859</v>
      </c>
      <c r="W19" s="84">
        <f t="shared" ca="1" si="4"/>
        <v>8.3914050727369377E-2</v>
      </c>
      <c r="X19" s="81">
        <f t="shared" ca="1" si="4"/>
        <v>15.871417400569587</v>
      </c>
      <c r="Y19" s="85" t="str">
        <f t="shared" ca="1" si="4"/>
        <v>NA</v>
      </c>
    </row>
    <row r="20" spans="1:25" ht="15.75" thickBot="1">
      <c r="A20" s="86" t="s">
        <v>41</v>
      </c>
      <c r="B20" s="87"/>
      <c r="C20" s="87"/>
      <c r="D20" s="88"/>
      <c r="E20" s="88"/>
      <c r="F20" s="88"/>
      <c r="G20" s="89"/>
      <c r="H20" s="90"/>
      <c r="I20" s="90"/>
      <c r="J20" s="91">
        <f t="shared" ref="J20:Y20" ca="1" si="5">IF(ISERROR(AVERAGE(J12:J14)),"NA",AVERAGE(J12:J14))</f>
        <v>5.3186745812402201</v>
      </c>
      <c r="K20" s="92">
        <f t="shared" ca="1" si="5"/>
        <v>3.5263059963570602</v>
      </c>
      <c r="L20" s="93">
        <f t="shared" ca="1" si="5"/>
        <v>2.8057424429751783</v>
      </c>
      <c r="M20" s="92">
        <f t="shared" ca="1" si="5"/>
        <v>93.50165524928633</v>
      </c>
      <c r="N20" s="92">
        <f t="shared" ca="1" si="5"/>
        <v>23.696130589825852</v>
      </c>
      <c r="O20" s="93">
        <f t="shared" ca="1" si="5"/>
        <v>22.068732495670506</v>
      </c>
      <c r="P20" s="92">
        <f t="shared" ca="1" si="5"/>
        <v>114.84629110997425</v>
      </c>
      <c r="Q20" s="92">
        <f t="shared" ca="1" si="5"/>
        <v>61.889146138116921</v>
      </c>
      <c r="R20" s="92">
        <f t="shared" ca="1" si="5"/>
        <v>52.718588235030346</v>
      </c>
      <c r="S20" s="91">
        <f t="shared" ca="1" si="5"/>
        <v>101.42754339156437</v>
      </c>
      <c r="T20" s="92">
        <f t="shared" ca="1" si="5"/>
        <v>38.29748261856637</v>
      </c>
      <c r="U20" s="92">
        <f t="shared" ca="1" si="5"/>
        <v>21.023917811113929</v>
      </c>
      <c r="V20" s="94">
        <f t="shared" ca="1" si="5"/>
        <v>62.749450788787712</v>
      </c>
      <c r="W20" s="95">
        <f t="shared" ca="1" si="5"/>
        <v>0.10914480279253207</v>
      </c>
      <c r="X20" s="92">
        <f t="shared" ca="1" si="5"/>
        <v>20.800716724654045</v>
      </c>
      <c r="Y20" s="96" t="str">
        <f t="shared" ca="1" si="5"/>
        <v>NA</v>
      </c>
    </row>
    <row r="21" spans="1:25">
      <c r="A21" s="99"/>
      <c r="B21" s="44"/>
      <c r="C21" s="44"/>
      <c r="D21" s="70"/>
      <c r="E21" s="70"/>
      <c r="F21" s="70"/>
      <c r="G21" s="45"/>
      <c r="H21" s="71"/>
      <c r="I21" s="71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72"/>
      <c r="W21" s="45"/>
      <c r="X21" s="47"/>
      <c r="Y21" s="98"/>
    </row>
    <row r="23" spans="1:25">
      <c r="A23" s="7" t="s">
        <v>5</v>
      </c>
      <c r="B23" s="100"/>
      <c r="C23" s="100"/>
      <c r="D23" s="100"/>
      <c r="E23" s="11" t="s">
        <v>42</v>
      </c>
      <c r="F23" s="12"/>
      <c r="G23" s="12"/>
      <c r="H23" s="12"/>
      <c r="I23" s="13"/>
      <c r="J23" s="12"/>
      <c r="K23" s="11" t="s">
        <v>43</v>
      </c>
      <c r="L23" s="12"/>
      <c r="M23" s="12"/>
      <c r="N23" s="13"/>
      <c r="O23" s="12" t="s">
        <v>44</v>
      </c>
      <c r="P23" s="12"/>
      <c r="Q23" s="12"/>
      <c r="R23" s="12"/>
      <c r="S23" s="12"/>
      <c r="T23" s="12"/>
      <c r="U23" s="12"/>
      <c r="V23" s="11" t="s">
        <v>45</v>
      </c>
      <c r="W23" s="12"/>
      <c r="X23" s="12"/>
      <c r="Y23" s="13"/>
    </row>
    <row r="24" spans="1:25">
      <c r="A24" s="101"/>
      <c r="B24" s="102"/>
      <c r="C24" s="20"/>
      <c r="D24" s="20"/>
      <c r="E24" s="19"/>
      <c r="F24" s="20" t="s">
        <v>46</v>
      </c>
      <c r="G24" s="20"/>
      <c r="H24" s="20"/>
      <c r="I24" s="103" t="s">
        <v>47</v>
      </c>
      <c r="J24" s="20"/>
      <c r="K24" s="19" t="s">
        <v>46</v>
      </c>
      <c r="L24" s="20"/>
      <c r="M24" s="20"/>
      <c r="N24" s="21" t="s">
        <v>47</v>
      </c>
      <c r="O24" s="104" t="s">
        <v>28</v>
      </c>
      <c r="P24" s="105"/>
      <c r="Q24" s="104" t="s">
        <v>29</v>
      </c>
      <c r="R24" s="105"/>
      <c r="S24" s="104" t="s">
        <v>31</v>
      </c>
      <c r="T24" s="105"/>
      <c r="U24" s="106"/>
      <c r="V24" s="19"/>
      <c r="W24" s="20"/>
      <c r="X24" s="20"/>
      <c r="Y24" s="21" t="s">
        <v>48</v>
      </c>
    </row>
    <row r="25" spans="1:25">
      <c r="A25" s="22" t="s">
        <v>22</v>
      </c>
      <c r="B25" s="23" t="s">
        <v>3</v>
      </c>
      <c r="C25" s="23" t="s">
        <v>23</v>
      </c>
      <c r="D25" s="29" t="s">
        <v>49</v>
      </c>
      <c r="E25" s="28" t="s">
        <v>28</v>
      </c>
      <c r="F25" s="29" t="s">
        <v>50</v>
      </c>
      <c r="G25" s="29" t="s">
        <v>29</v>
      </c>
      <c r="H25" s="29" t="s">
        <v>30</v>
      </c>
      <c r="I25" s="29" t="s">
        <v>51</v>
      </c>
      <c r="J25" s="29" t="s">
        <v>31</v>
      </c>
      <c r="K25" s="28" t="s">
        <v>50</v>
      </c>
      <c r="L25" s="29" t="s">
        <v>29</v>
      </c>
      <c r="M25" s="29" t="s">
        <v>30</v>
      </c>
      <c r="N25" s="30" t="s">
        <v>51</v>
      </c>
      <c r="O25" s="29" t="s">
        <v>52</v>
      </c>
      <c r="P25" s="29" t="s">
        <v>53</v>
      </c>
      <c r="Q25" s="28" t="s">
        <v>52</v>
      </c>
      <c r="R25" s="29" t="s">
        <v>53</v>
      </c>
      <c r="S25" s="27" t="s">
        <v>52</v>
      </c>
      <c r="T25" s="23" t="s">
        <v>53</v>
      </c>
      <c r="U25" s="23" t="s">
        <v>54</v>
      </c>
      <c r="V25" s="28" t="s">
        <v>55</v>
      </c>
      <c r="W25" s="29" t="s">
        <v>56</v>
      </c>
      <c r="X25" s="29" t="s">
        <v>57</v>
      </c>
      <c r="Y25" s="30" t="s">
        <v>58</v>
      </c>
    </row>
    <row r="26" spans="1:25" ht="15.75" thickBot="1">
      <c r="A26" s="31"/>
      <c r="B26" s="32"/>
      <c r="C26" s="107"/>
      <c r="D26" s="107"/>
      <c r="E26" s="108"/>
      <c r="F26" s="107"/>
      <c r="G26" s="107"/>
      <c r="H26" s="107"/>
      <c r="I26" s="107"/>
      <c r="J26" s="107"/>
      <c r="K26" s="109"/>
      <c r="L26" s="107"/>
      <c r="M26" s="107"/>
      <c r="N26" s="107"/>
      <c r="O26" s="109"/>
      <c r="P26" s="107"/>
      <c r="Q26" s="109"/>
      <c r="R26" s="107"/>
      <c r="S26" s="109"/>
      <c r="T26" s="107"/>
      <c r="U26" s="107"/>
      <c r="V26" s="109"/>
      <c r="W26" s="107"/>
      <c r="X26" s="107"/>
      <c r="Y26" s="40"/>
    </row>
    <row r="27" spans="1:25" ht="15.75" thickBot="1">
      <c r="A27" s="129" t="str">
        <f>+A11</f>
        <v>Nvidia Corporation</v>
      </c>
      <c r="B27" s="41" t="str">
        <f ca="1">B11</f>
        <v>NVDA</v>
      </c>
      <c r="C27" s="41" t="str">
        <f ca="1">C11</f>
        <v>USD</v>
      </c>
      <c r="D27" s="110">
        <f ca="1">IFERROR(INDIRECT("'" &amp; $A27 &amp; "'!" &amp; "E8"),"NM")</f>
        <v>44955</v>
      </c>
      <c r="E27" s="111">
        <f ca="1">IFERROR(INDIRECT("'" &amp; $A27 &amp; "'!" &amp; "N8"),"NM")</f>
        <v>25878</v>
      </c>
      <c r="F27" s="112">
        <f ca="1">IFERROR(INDIRECT("'" &amp; $A27 &amp; "'!" &amp; "N10"),"NM")</f>
        <v>14573</v>
      </c>
      <c r="G27" s="112">
        <f ca="1">IFERROR(INDIRECT("'" &amp; $A27 &amp; "'!" &amp; "N44"),"NM")</f>
        <v>8956</v>
      </c>
      <c r="H27" s="112">
        <f ca="1">IFERROR(INDIRECT("'" &amp; $A27 &amp; "'!" &amp; "N39"),"NM")</f>
        <v>7362</v>
      </c>
      <c r="I27" s="112">
        <f ca="1">IFERROR(INDIRECT("'" &amp; $A27 &amp; "'!" &amp; "N52"),"NM")</f>
        <v>7057.14</v>
      </c>
      <c r="J27" s="442">
        <f ca="1">IFERROR(INDIRECT("'" &amp; $A27 &amp; "'!" &amp; "N57"),"NM")</f>
        <v>2.8687560975609756</v>
      </c>
      <c r="K27" s="42">
        <f t="shared" ref="K27:N30" ca="1" si="6">+F27/$E27</f>
        <v>0.56314243759177685</v>
      </c>
      <c r="L27" s="42">
        <f t="shared" ca="1" si="6"/>
        <v>0.34608547801221112</v>
      </c>
      <c r="M27" s="42">
        <f t="shared" ca="1" si="6"/>
        <v>0.28448875492696502</v>
      </c>
      <c r="N27" s="439">
        <f t="shared" ca="1" si="6"/>
        <v>0.2727080918154417</v>
      </c>
      <c r="O27" s="42">
        <f ca="1">IFERROR(INDIRECT("'" &amp; $A27 &amp; "'!" &amp; "R59"),"NM")</f>
        <v>0.32944975119820019</v>
      </c>
      <c r="P27" s="439">
        <f ca="1">IFERROR(INDIRECT("'" &amp; $A27 &amp; "'!" &amp; "R63"),"NM")</f>
        <v>0.54466095229625555</v>
      </c>
      <c r="Q27" s="42">
        <f ca="1">IFERROR(INDIRECT("'" &amp; $A27 &amp; "'!" &amp; "S59"),"NM")</f>
        <v>0.17513692880046161</v>
      </c>
      <c r="R27" s="439">
        <f ca="1">IFERROR(INDIRECT("'" &amp; $A27 &amp; "'!" &amp; "S63"),"NM")</f>
        <v>-1.4303726747686873E-2</v>
      </c>
      <c r="S27" s="42">
        <f ca="1">IFERROR(INDIRECT("'" &amp; $A27 &amp; "'!" &amp; "T59"),"NM")</f>
        <v>0.17914352568575143</v>
      </c>
      <c r="T27" s="42">
        <f ca="1">IFERROR(INDIRECT("'" &amp; $A27 &amp; "'!" &amp; "T63"),"NM")</f>
        <v>0.86750144806147467</v>
      </c>
      <c r="U27" s="439" t="str">
        <f ca="1">IFERROR(INDIRECT("'" &amp; $A27 &amp; "'!" &amp; V$44),"NM")</f>
        <v>NM</v>
      </c>
      <c r="V27" s="42">
        <f ca="1">IFERROR(INDIRECT("'" &amp; $A27 &amp; "'!" &amp; "T67"),"NM")</f>
        <v>0.17616708063245898</v>
      </c>
      <c r="W27" s="42">
        <f ca="1">IFERROR(INDIRECT("'" &amp; $A27 &amp; "'!" &amp; "T68"),"NM")</f>
        <v>0.30274511486240108</v>
      </c>
      <c r="X27" s="42">
        <f ca="1">IFERROR(INDIRECT("'" &amp; $A27 &amp; "'!" &amp; "T69"),"NM")</f>
        <v>0.16480558604423065</v>
      </c>
      <c r="Y27" s="113">
        <f ca="1">IFERROR(INDIRECT("'" &amp; $A27 &amp; "'!" &amp; "T70"),"NM")</f>
        <v>3.4403423140602494E-4</v>
      </c>
    </row>
    <row r="28" spans="1:25" ht="15.75" thickBot="1">
      <c r="A28" s="131" t="str">
        <f>+A12</f>
        <v>Advanced Micro Devices, Inc.</v>
      </c>
      <c r="B28" s="44" t="str">
        <f ca="1">B12</f>
        <v>AMD</v>
      </c>
      <c r="C28" s="44" t="str">
        <f ca="1">C12</f>
        <v>USD</v>
      </c>
      <c r="D28" s="114">
        <f ca="1">IFERROR(INDIRECT("'" &amp; $A28 &amp; "'!" &amp; "E8"),"NM")</f>
        <v>44926</v>
      </c>
      <c r="E28" s="115">
        <f ca="1">IFERROR(INDIRECT("'" &amp; $A28 &amp; "'!" &amp; "N8"),"NM")</f>
        <v>21876</v>
      </c>
      <c r="F28" s="116">
        <f ca="1">IFERROR(INDIRECT("'" &amp; $A28 &amp; "'!" &amp; "N10"),"NM")</f>
        <v>9559</v>
      </c>
      <c r="G28" s="116">
        <f ca="1">IFERROR(INDIRECT("'" &amp; $A28 &amp; "'!" &amp; "N44"),"NM")</f>
        <v>5085</v>
      </c>
      <c r="H28" s="116">
        <f ca="1">IFERROR(INDIRECT("'" &amp; $A28 &amp; "'!" &amp; "N39"),"NM")</f>
        <v>869</v>
      </c>
      <c r="I28" s="116">
        <f ca="1">IFERROR(INDIRECT("'" &amp; $A28 &amp; "'!" &amp; "N52"),"NM")</f>
        <v>960.13</v>
      </c>
      <c r="J28" s="443">
        <f ca="1">IFERROR(INDIRECT("'" &amp; $A28 &amp; "'!" &amp; "N57"),"NM")</f>
        <v>0.5776955475330926</v>
      </c>
      <c r="K28" s="45">
        <f t="shared" ca="1" si="6"/>
        <v>0.43696288169683672</v>
      </c>
      <c r="L28" s="45">
        <f t="shared" ca="1" si="6"/>
        <v>0.23244651673066374</v>
      </c>
      <c r="M28" s="45">
        <f t="shared" ca="1" si="6"/>
        <v>3.9723898336076063E-2</v>
      </c>
      <c r="N28" s="440">
        <f t="shared" ca="1" si="6"/>
        <v>4.3889650758822452E-2</v>
      </c>
      <c r="O28" s="437">
        <f ca="1">IFERROR(INDIRECT("'" &amp; $A28 &amp; "'!" &amp; "R59"),"NM")</f>
        <v>0.55479651241634254</v>
      </c>
      <c r="P28" s="440">
        <f ca="1">IFERROR(INDIRECT("'" &amp; $A28 &amp; "'!" &amp; "R63"),"NM")</f>
        <v>0.5597010690420281</v>
      </c>
      <c r="Q28" s="437">
        <f ca="1">IFERROR(INDIRECT("'" &amp; $A28 &amp; "'!" &amp; "S59"),"NM")</f>
        <v>0.82606868825352486</v>
      </c>
      <c r="R28" s="440">
        <f ca="1">IFERROR(INDIRECT("'" &amp; $A28 &amp; "'!" &amp; "S63"),"NM")</f>
        <v>5.4496913504556099E-2</v>
      </c>
      <c r="S28" s="437">
        <f ca="1">IFERROR(INDIRECT("'" &amp; $A28 &amp; "'!" &amp; "T59"),"NM")</f>
        <v>-0.2144144126081039</v>
      </c>
      <c r="T28" s="437">
        <f ca="1">IFERROR(INDIRECT("'" &amp; $A28 &amp; "'!" &amp; "T63"),"NM")</f>
        <v>0.73382789860036546</v>
      </c>
      <c r="U28" s="441" t="str">
        <f ca="1">IFERROR(INDIRECT("'" &amp; $A28 &amp; "'!" &amp; V$44),"NM")</f>
        <v>NM</v>
      </c>
      <c r="V28" s="437">
        <f ca="1">IFERROR(INDIRECT("'" &amp; $A28 &amp; "'!" &amp; "T67"),"NM")</f>
        <v>1.2036960733603934E-2</v>
      </c>
      <c r="W28" s="437">
        <f ca="1">IFERROR(INDIRECT("'" &amp; $A28 &amp; "'!" &amp; "T68"),"NM")</f>
        <v>1.7475019565731758E-2</v>
      </c>
      <c r="X28" s="437">
        <f ca="1">IFERROR(INDIRECT("'" &amp; $A28 &amp; "'!" &amp; "T69"),"NM")</f>
        <v>1.4166746589743779E-2</v>
      </c>
      <c r="Y28" s="438">
        <f ca="1">IFERROR(INDIRECT("'" &amp; $A28 &amp; "'!" &amp; "T70"),"NM")</f>
        <v>0</v>
      </c>
    </row>
    <row r="29" spans="1:25" ht="15.75" thickBot="1">
      <c r="A29" s="130" t="str">
        <f>+A13</f>
        <v>Intel Corporation</v>
      </c>
      <c r="B29" s="44" t="str">
        <f t="shared" ref="B29:C30" ca="1" si="7">B13</f>
        <v>INTC</v>
      </c>
      <c r="C29" s="44" t="str">
        <f t="shared" ca="1" si="7"/>
        <v>USD</v>
      </c>
      <c r="D29" s="114">
        <f ca="1">IFERROR(INDIRECT("'" &amp; $A29 &amp; "'!" &amp; "E8"),"NM")</f>
        <v>44926</v>
      </c>
      <c r="E29" s="118">
        <f ca="1">IFERROR(INDIRECT("'" &amp; $A29 &amp; "'!" &amp; "N8"),"NM")</f>
        <v>54044</v>
      </c>
      <c r="F29" s="119">
        <f ca="1">IFERROR(INDIRECT("'" &amp; $A29 &amp; "'!" &amp; "N10"),"NM")</f>
        <v>20681</v>
      </c>
      <c r="G29" s="119">
        <f ca="1">IFERROR(INDIRECT("'" &amp; $A29 &amp; "'!" &amp; "N44"),"NM")</f>
        <v>759</v>
      </c>
      <c r="H29" s="119">
        <f ca="1">IFERROR(INDIRECT("'" &amp; $A29 &amp; "'!" &amp; "N39"),"NM")</f>
        <v>-422</v>
      </c>
      <c r="I29" s="119">
        <f ca="1">IFERROR(INDIRECT("'" &amp; $A29 &amp; "'!" &amp; "N52"),"NM")</f>
        <v>1724.51</v>
      </c>
      <c r="J29" s="444">
        <f ca="1">IFERROR(INDIRECT("'" &amp; $A29 &amp; "'!" &amp; "N57"),"NM")</f>
        <v>0.41345240949412609</v>
      </c>
      <c r="K29" s="45">
        <f t="shared" ca="1" si="6"/>
        <v>0.38266967655984013</v>
      </c>
      <c r="L29" s="45">
        <f t="shared" ca="1" si="6"/>
        <v>1.4044112204870106E-2</v>
      </c>
      <c r="M29" s="45">
        <f t="shared" ca="1" si="6"/>
        <v>-7.8084523721412185E-3</v>
      </c>
      <c r="N29" s="441">
        <f t="shared" ca="1" si="6"/>
        <v>3.1909370142846567E-2</v>
      </c>
      <c r="O29" s="45">
        <f ca="1">IFERROR(INDIRECT("'" &amp; $A29 &amp; "'!" &amp; "R59"),"NM")</f>
        <v>-0.10013035991033803</v>
      </c>
      <c r="P29" s="441">
        <f ca="1">IFERROR(INDIRECT("'" &amp; $A29 &amp; "'!" &amp; "R63"),"NM")</f>
        <v>-9.3615917440621255E-2</v>
      </c>
      <c r="Q29" s="45">
        <f ca="1">IFERROR(INDIRECT("'" &amp; $A29 &amp; "'!" &amp; "S59"),"NM")</f>
        <v>-0.52072968544052345</v>
      </c>
      <c r="R29" s="441">
        <f ca="1">IFERROR(INDIRECT("'" &amp; $A29 &amp; "'!" &amp; "S63"),"NM")</f>
        <v>-0.24447204474983975</v>
      </c>
      <c r="S29" s="45">
        <f ca="1">IFERROR(INDIRECT("'" &amp; $A29 &amp; "'!" &amp; "T59"),"NM")</f>
        <v>-0.3015235745895618</v>
      </c>
      <c r="T29" s="45">
        <f ca="1">IFERROR(INDIRECT("'" &amp; $A29 &amp; "'!" &amp; "T63"),"NM")</f>
        <v>-0.18083254832421614</v>
      </c>
      <c r="U29" s="441" t="str">
        <f ca="1">IFERROR(INDIRECT("'" &amp; $A29 &amp; "'!" &amp; V$44),"NM")</f>
        <v>NM</v>
      </c>
      <c r="V29" s="45">
        <f ca="1">IFERROR(INDIRECT("'" &amp; $A29 &amp; "'!" &amp; "T67"),"NM")</f>
        <v>-2.2851776705417855E-3</v>
      </c>
      <c r="W29" s="45">
        <f ca="1">IFERROR(INDIRECT("'" &amp; $A29 &amp; "'!" &amp; "T68"),"NM")</f>
        <v>1.6601221619488151E-2</v>
      </c>
      <c r="X29" s="45">
        <f ca="1">IFERROR(INDIRECT("'" &amp; $A29 &amp; "'!" &amp; "T69"),"NM")</f>
        <v>9.3791674371553196E-3</v>
      </c>
      <c r="Y29" s="117">
        <f ca="1">IFERROR(INDIRECT("'" &amp; $A29 &amp; "'!" &amp; "T70"),"NM")</f>
        <v>0.16312849162011175</v>
      </c>
    </row>
    <row r="30" spans="1:25" ht="15.75" thickBot="1">
      <c r="A30" s="97" t="str">
        <f>+A14</f>
        <v>QUALCOMM Incorporated</v>
      </c>
      <c r="B30" s="44" t="str">
        <f t="shared" ca="1" si="7"/>
        <v>QCOM</v>
      </c>
      <c r="C30" s="44" t="str">
        <f t="shared" ca="1" si="7"/>
        <v>USD</v>
      </c>
      <c r="D30" s="114">
        <f ca="1">IFERROR(INDIRECT("'" &amp; $A30 &amp; "'!" &amp; "E8"),"NM")</f>
        <v>44829</v>
      </c>
      <c r="E30" s="118">
        <f ca="1">IFERROR(INDIRECT("'" &amp; $A30 &amp; "'!" &amp; "N8"),"NM")</f>
        <v>38584</v>
      </c>
      <c r="F30" s="119">
        <f ca="1">IFERROR(INDIRECT("'" &amp; $A30 &amp; "'!" &amp; "N10"),"NM")</f>
        <v>21727</v>
      </c>
      <c r="G30" s="119">
        <f ca="1">IFERROR(INDIRECT("'" &amp; $A30 &amp; "'!" &amp; "N44"),"NM")</f>
        <v>14278</v>
      </c>
      <c r="H30" s="119">
        <f ca="1">IFERROR(INDIRECT("'" &amp; $A30 &amp; "'!" &amp; "N39"),"NM")</f>
        <v>12441</v>
      </c>
      <c r="I30" s="119">
        <f ca="1">IFERROR(INDIRECT("'" &amp; $A30 &amp; "'!" &amp; "N52"),"NM")</f>
        <v>10508.63</v>
      </c>
      <c r="J30" s="444">
        <f ca="1">IFERROR(INDIRECT("'" &amp; $A30 &amp; "'!" &amp; "N57"),"NM")</f>
        <v>9.3493149466192165</v>
      </c>
      <c r="K30" s="45">
        <f t="shared" ca="1" si="6"/>
        <v>0.56310906075057021</v>
      </c>
      <c r="L30" s="45">
        <f t="shared" ca="1" si="6"/>
        <v>0.3700497615591955</v>
      </c>
      <c r="M30" s="45">
        <f t="shared" ca="1" si="6"/>
        <v>0.32243935309973049</v>
      </c>
      <c r="N30" s="441">
        <f t="shared" ca="1" si="6"/>
        <v>0.27235719469210035</v>
      </c>
      <c r="O30" s="45">
        <f ca="1">IFERROR(INDIRECT("'" &amp; $A30 &amp; "'!" &amp; "R59"),"NM")</f>
        <v>0.36196016278910248</v>
      </c>
      <c r="P30" s="441">
        <f ca="1">IFERROR(INDIRECT("'" &amp; $A30 &amp; "'!" &amp; "R63"),"NM")</f>
        <v>0.37163369474109653</v>
      </c>
      <c r="Q30" s="45">
        <f ca="1">IFERROR(INDIRECT("'" &amp; $A30 &amp; "'!" &amp; "S59"),"NM")</f>
        <v>0.44255610133898093</v>
      </c>
      <c r="R30" s="441">
        <f ca="1">IFERROR(INDIRECT("'" &amp; $A30 &amp; "'!" &amp; "S63"),"NM")</f>
        <v>0.29132977784245107</v>
      </c>
      <c r="S30" s="45">
        <f ca="1">IFERROR(INDIRECT("'" &amp; $A30 &amp; "'!" &amp; "T59"),"NM")</f>
        <v>0.36299876609398196</v>
      </c>
      <c r="T30" s="45">
        <f ca="1">IFERROR(INDIRECT("'" &amp; $A30 &amp; "'!" &amp; "T63"),"NM")</f>
        <v>-0.10414932603146099</v>
      </c>
      <c r="U30" s="441" t="str">
        <f ca="1">IFERROR(INDIRECT("'" &amp; $A30 &amp; "'!" &amp; V$44),"NM")</f>
        <v>NM</v>
      </c>
      <c r="V30" s="45">
        <f ca="1">IFERROR(INDIRECT("'" &amp; $A30 &amp; "'!" &amp; "T67"),"NM")</f>
        <v>0.29448359550561803</v>
      </c>
      <c r="W30" s="45">
        <f ca="1">IFERROR(INDIRECT("'" &amp; $A30 &amp; "'!" &amp; "T68"),"NM")</f>
        <v>0.54332032158829457</v>
      </c>
      <c r="X30" s="45">
        <f ca="1">IFERROR(INDIRECT("'" &amp; $A30 &amp; "'!" &amp; "T69"),"NM")</f>
        <v>0.21442682827293502</v>
      </c>
      <c r="Y30" s="117">
        <f ca="1">IFERROR(INDIRECT("'" &amp; $A30 &amp; "'!" &amp; "T70"),"NM")</f>
        <v>8.6614173228346442E-2</v>
      </c>
    </row>
    <row r="31" spans="1:25" ht="15.75" thickBot="1">
      <c r="A31" s="49"/>
      <c r="B31" s="120"/>
      <c r="C31" s="107"/>
      <c r="D31" s="107"/>
      <c r="E31" s="121"/>
      <c r="F31" s="107"/>
      <c r="G31" s="107"/>
      <c r="H31" s="107"/>
      <c r="I31" s="107"/>
      <c r="J31" s="55"/>
      <c r="K31" s="107"/>
      <c r="L31" s="107"/>
      <c r="M31" s="107"/>
      <c r="N31" s="55"/>
      <c r="O31" s="107"/>
      <c r="P31" s="55"/>
      <c r="Q31" s="107"/>
      <c r="R31" s="55"/>
      <c r="S31" s="107"/>
      <c r="T31" s="107"/>
      <c r="U31" s="55"/>
      <c r="V31" s="107"/>
      <c r="W31" s="107"/>
      <c r="X31" s="107"/>
      <c r="Y31" s="55"/>
    </row>
    <row r="32" spans="1:25">
      <c r="A32" s="57" t="s">
        <v>26</v>
      </c>
      <c r="B32" s="58"/>
      <c r="C32" s="58"/>
      <c r="D32" s="58"/>
      <c r="E32" s="61"/>
      <c r="F32" s="61"/>
      <c r="G32" s="61"/>
      <c r="H32" s="61"/>
      <c r="I32" s="61"/>
      <c r="J32" s="64"/>
      <c r="K32" s="66">
        <f t="shared" ref="K32:Y32" ca="1" si="8">MAX(K27:K30)</f>
        <v>0.56314243759177685</v>
      </c>
      <c r="L32" s="60">
        <f t="shared" ca="1" si="8"/>
        <v>0.3700497615591955</v>
      </c>
      <c r="M32" s="60">
        <f t="shared" ca="1" si="8"/>
        <v>0.32243935309973049</v>
      </c>
      <c r="N32" s="122">
        <f t="shared" ca="1" si="8"/>
        <v>0.2727080918154417</v>
      </c>
      <c r="O32" s="60">
        <f t="shared" ca="1" si="8"/>
        <v>0.55479651241634254</v>
      </c>
      <c r="P32" s="122">
        <f t="shared" ca="1" si="8"/>
        <v>0.5597010690420281</v>
      </c>
      <c r="Q32" s="60">
        <f t="shared" ca="1" si="8"/>
        <v>0.82606868825352486</v>
      </c>
      <c r="R32" s="122">
        <f t="shared" ca="1" si="8"/>
        <v>0.29132977784245107</v>
      </c>
      <c r="S32" s="60">
        <f t="shared" ca="1" si="8"/>
        <v>0.36299876609398196</v>
      </c>
      <c r="T32" s="60">
        <f t="shared" ca="1" si="8"/>
        <v>0.86750144806147467</v>
      </c>
      <c r="U32" s="122">
        <f t="shared" ca="1" si="8"/>
        <v>0</v>
      </c>
      <c r="V32" s="60">
        <f t="shared" ca="1" si="8"/>
        <v>0.29448359550561803</v>
      </c>
      <c r="W32" s="60">
        <f t="shared" ca="1" si="8"/>
        <v>0.54332032158829457</v>
      </c>
      <c r="X32" s="60">
        <f t="shared" ca="1" si="8"/>
        <v>0.21442682827293502</v>
      </c>
      <c r="Y32" s="123">
        <f t="shared" ca="1" si="8"/>
        <v>0.16312849162011175</v>
      </c>
    </row>
    <row r="33" spans="1:27">
      <c r="A33" s="68" t="s">
        <v>38</v>
      </c>
      <c r="B33" s="69"/>
      <c r="C33" s="69"/>
      <c r="D33" s="69"/>
      <c r="E33" s="71"/>
      <c r="F33" s="71"/>
      <c r="G33" s="71"/>
      <c r="H33" s="71"/>
      <c r="I33" s="71"/>
      <c r="J33" s="48"/>
      <c r="K33" s="73">
        <f t="shared" ref="K33:Y33" ca="1" si="9">MIN(K27:K30)</f>
        <v>0.38266967655984013</v>
      </c>
      <c r="L33" s="45">
        <f t="shared" ca="1" si="9"/>
        <v>1.4044112204870106E-2</v>
      </c>
      <c r="M33" s="45">
        <f t="shared" ca="1" si="9"/>
        <v>-7.8084523721412185E-3</v>
      </c>
      <c r="N33" s="117">
        <f t="shared" ca="1" si="9"/>
        <v>3.1909370142846567E-2</v>
      </c>
      <c r="O33" s="45">
        <f t="shared" ca="1" si="9"/>
        <v>-0.10013035991033803</v>
      </c>
      <c r="P33" s="117">
        <f t="shared" ca="1" si="9"/>
        <v>-9.3615917440621255E-2</v>
      </c>
      <c r="Q33" s="45">
        <f t="shared" ca="1" si="9"/>
        <v>-0.52072968544052345</v>
      </c>
      <c r="R33" s="117">
        <f t="shared" ca="1" si="9"/>
        <v>-0.24447204474983975</v>
      </c>
      <c r="S33" s="45">
        <f t="shared" ca="1" si="9"/>
        <v>-0.3015235745895618</v>
      </c>
      <c r="T33" s="45">
        <f t="shared" ca="1" si="9"/>
        <v>-0.18083254832421614</v>
      </c>
      <c r="U33" s="117">
        <f t="shared" ca="1" si="9"/>
        <v>0</v>
      </c>
      <c r="V33" s="45">
        <f t="shared" ca="1" si="9"/>
        <v>-2.2851776705417855E-3</v>
      </c>
      <c r="W33" s="45">
        <f t="shared" ca="1" si="9"/>
        <v>1.6601221619488151E-2</v>
      </c>
      <c r="X33" s="45">
        <f t="shared" ca="1" si="9"/>
        <v>9.3791674371553196E-3</v>
      </c>
      <c r="Y33" s="124">
        <f t="shared" ca="1" si="9"/>
        <v>0</v>
      </c>
    </row>
    <row r="34" spans="1:27">
      <c r="A34" s="75" t="s">
        <v>39</v>
      </c>
      <c r="B34" s="76"/>
      <c r="C34" s="76"/>
      <c r="D34" s="76"/>
      <c r="E34" s="79"/>
      <c r="F34" s="79"/>
      <c r="G34" s="79"/>
      <c r="H34" s="79"/>
      <c r="I34" s="79"/>
      <c r="J34" s="82"/>
      <c r="K34" s="84">
        <f t="shared" ref="K34:Y34" ca="1" si="10">IF(ISERROR(MEDIAN(K27:K30)),"NA",MEDIAN(K27:K30))</f>
        <v>0.50003597122370347</v>
      </c>
      <c r="L34" s="125">
        <f t="shared" ca="1" si="10"/>
        <v>0.28926599737143743</v>
      </c>
      <c r="M34" s="125">
        <f t="shared" ca="1" si="10"/>
        <v>0.16210632663152053</v>
      </c>
      <c r="N34" s="126">
        <f t="shared" ca="1" si="10"/>
        <v>0.1581234227254614</v>
      </c>
      <c r="O34" s="125">
        <f t="shared" ca="1" si="10"/>
        <v>0.34570495699365134</v>
      </c>
      <c r="P34" s="126">
        <f t="shared" ca="1" si="10"/>
        <v>0.45814732351867604</v>
      </c>
      <c r="Q34" s="125">
        <f t="shared" ca="1" si="10"/>
        <v>0.30884651506972127</v>
      </c>
      <c r="R34" s="126">
        <f t="shared" ca="1" si="10"/>
        <v>2.0096593378434613E-2</v>
      </c>
      <c r="S34" s="125">
        <f t="shared" ca="1" si="10"/>
        <v>-1.7635443461176237E-2</v>
      </c>
      <c r="T34" s="125">
        <f t="shared" ca="1" si="10"/>
        <v>0.31483928628445224</v>
      </c>
      <c r="U34" s="126" t="str">
        <f t="shared" ca="1" si="10"/>
        <v>NA</v>
      </c>
      <c r="V34" s="125">
        <f t="shared" ca="1" si="10"/>
        <v>9.4102020683031445E-2</v>
      </c>
      <c r="W34" s="125">
        <f t="shared" ca="1" si="10"/>
        <v>0.1601100672140664</v>
      </c>
      <c r="X34" s="125">
        <f t="shared" ca="1" si="10"/>
        <v>8.9486166316987206E-2</v>
      </c>
      <c r="Y34" s="127">
        <f t="shared" ca="1" si="10"/>
        <v>4.3479103729876234E-2</v>
      </c>
    </row>
    <row r="35" spans="1:27">
      <c r="A35" s="75" t="s">
        <v>40</v>
      </c>
      <c r="B35" s="76"/>
      <c r="C35" s="76"/>
      <c r="D35" s="76"/>
      <c r="E35" s="79"/>
      <c r="F35" s="79"/>
      <c r="G35" s="79"/>
      <c r="H35" s="79"/>
      <c r="I35" s="79"/>
      <c r="J35" s="82"/>
      <c r="K35" s="84">
        <f t="shared" ref="K35:Y35" ca="1" si="11">IF(ISERROR(AVERAGE(K27:K30)),"NA",AVERAGE(K27:K30))</f>
        <v>0.48647101414975596</v>
      </c>
      <c r="L35" s="125">
        <f t="shared" ca="1" si="11"/>
        <v>0.24065646712673511</v>
      </c>
      <c r="M35" s="125">
        <f t="shared" ca="1" si="11"/>
        <v>0.15971088849765758</v>
      </c>
      <c r="N35" s="126">
        <f t="shared" ca="1" si="11"/>
        <v>0.15521607685230276</v>
      </c>
      <c r="O35" s="125">
        <f t="shared" ca="1" si="11"/>
        <v>0.28651901662332679</v>
      </c>
      <c r="P35" s="126">
        <f t="shared" ca="1" si="11"/>
        <v>0.34559494965968973</v>
      </c>
      <c r="Q35" s="125">
        <f t="shared" ca="1" si="11"/>
        <v>0.23075800823811099</v>
      </c>
      <c r="R35" s="126">
        <f t="shared" ca="1" si="11"/>
        <v>2.1762729962370136E-2</v>
      </c>
      <c r="S35" s="125">
        <f t="shared" ca="1" si="11"/>
        <v>6.5510761455169209E-3</v>
      </c>
      <c r="T35" s="125">
        <f t="shared" ca="1" si="11"/>
        <v>0.32908686807654075</v>
      </c>
      <c r="U35" s="126" t="str">
        <f t="shared" ca="1" si="11"/>
        <v>NA</v>
      </c>
      <c r="V35" s="125">
        <f t="shared" ca="1" si="11"/>
        <v>0.12010061480028479</v>
      </c>
      <c r="W35" s="125">
        <f t="shared" ca="1" si="11"/>
        <v>0.22003541940897889</v>
      </c>
      <c r="X35" s="125">
        <f t="shared" ca="1" si="11"/>
        <v>0.1006945820860162</v>
      </c>
      <c r="Y35" s="127">
        <f t="shared" ca="1" si="11"/>
        <v>6.2521674769966062E-2</v>
      </c>
    </row>
    <row r="36" spans="1:27" ht="15.75" thickBot="1">
      <c r="A36" s="86" t="s">
        <v>41</v>
      </c>
      <c r="B36" s="87"/>
      <c r="C36" s="87"/>
      <c r="D36" s="87"/>
      <c r="E36" s="90"/>
      <c r="F36" s="90"/>
      <c r="G36" s="90"/>
      <c r="H36" s="90"/>
      <c r="I36" s="90"/>
      <c r="J36" s="93"/>
      <c r="K36" s="95">
        <f t="shared" ref="K36:Y36" ca="1" si="12">IF(ISERROR(AVERAGE(K28:K30)),"NA",AVERAGE(K28:K30))</f>
        <v>0.46091387300241565</v>
      </c>
      <c r="L36" s="89">
        <f t="shared" ca="1" si="12"/>
        <v>0.20551346349824309</v>
      </c>
      <c r="M36" s="89">
        <f t="shared" ca="1" si="12"/>
        <v>0.11811826635455512</v>
      </c>
      <c r="N36" s="56">
        <f t="shared" ca="1" si="12"/>
        <v>0.11605207186458978</v>
      </c>
      <c r="O36" s="89">
        <f t="shared" ca="1" si="12"/>
        <v>0.27220877176503566</v>
      </c>
      <c r="P36" s="56">
        <f t="shared" ca="1" si="12"/>
        <v>0.27923961544750114</v>
      </c>
      <c r="Q36" s="89">
        <f t="shared" ca="1" si="12"/>
        <v>0.24929836805066077</v>
      </c>
      <c r="R36" s="56">
        <f t="shared" ca="1" si="12"/>
        <v>3.3784882199055809E-2</v>
      </c>
      <c r="S36" s="89">
        <f t="shared" ca="1" si="12"/>
        <v>-5.0979740367894578E-2</v>
      </c>
      <c r="T36" s="89">
        <f t="shared" ca="1" si="12"/>
        <v>0.1496153414148961</v>
      </c>
      <c r="U36" s="56" t="str">
        <f t="shared" ca="1" si="12"/>
        <v>NA</v>
      </c>
      <c r="V36" s="89">
        <f t="shared" ca="1" si="12"/>
        <v>0.10141179285622672</v>
      </c>
      <c r="W36" s="89">
        <f t="shared" ca="1" si="12"/>
        <v>0.19246552092450483</v>
      </c>
      <c r="X36" s="89">
        <f t="shared" ca="1" si="12"/>
        <v>7.9324247433278039E-2</v>
      </c>
      <c r="Y36" s="128">
        <f t="shared" ca="1" si="12"/>
        <v>8.3247554949486061E-2</v>
      </c>
    </row>
    <row r="41" spans="1:27">
      <c r="C41" s="445"/>
      <c r="D41" s="445"/>
      <c r="E41" s="445"/>
      <c r="F41" s="445"/>
      <c r="G41" s="445"/>
      <c r="H41" s="35"/>
      <c r="I41" s="445"/>
      <c r="J41" s="445"/>
      <c r="K41" s="445"/>
      <c r="L41" s="445"/>
      <c r="M41" s="445"/>
      <c r="N41" s="445"/>
      <c r="O41" s="445"/>
      <c r="P41" s="445"/>
      <c r="Q41" s="445"/>
      <c r="R41" s="445"/>
      <c r="S41" s="445"/>
      <c r="T41" s="445"/>
      <c r="U41" s="445"/>
      <c r="V41" s="445"/>
      <c r="W41" s="445"/>
      <c r="X41" s="445"/>
      <c r="Y41" s="445"/>
      <c r="Z41" s="445"/>
      <c r="AA41" s="107"/>
    </row>
    <row r="42" spans="1:27">
      <c r="C42" s="445"/>
      <c r="D42" s="445"/>
      <c r="E42" s="445"/>
      <c r="F42" s="445"/>
      <c r="G42" s="445"/>
      <c r="H42" s="445"/>
      <c r="I42" s="445"/>
      <c r="J42" s="445"/>
      <c r="K42" s="445"/>
      <c r="L42" s="445"/>
      <c r="M42" s="445"/>
      <c r="N42" s="445"/>
      <c r="O42" s="445"/>
      <c r="P42" s="445"/>
      <c r="Q42" s="445"/>
      <c r="R42" s="445"/>
      <c r="S42" s="445"/>
      <c r="T42" s="445"/>
      <c r="U42" s="445"/>
      <c r="V42" s="445"/>
      <c r="W42" s="445"/>
      <c r="X42" s="445"/>
      <c r="Y42" s="445"/>
      <c r="Z42" s="107"/>
      <c r="AA42" s="107"/>
    </row>
  </sheetData>
  <dataValidations count="1">
    <dataValidation type="list" allowBlank="1" showInputMessage="1" showErrorMessage="1" sqref="B10" xr:uid="{6DF3960A-280A-4AD5-9AA5-1FBDD2DD68F6}">
      <formula1>$B$44:$B$46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5BBD-7CC2-4F68-957A-5E5A503C11C5}">
  <sheetPr>
    <tabColor theme="9" tint="-0.249977111117893"/>
  </sheetPr>
  <dimension ref="A1:Y28"/>
  <sheetViews>
    <sheetView showGridLines="0" zoomScaleNormal="100" workbookViewId="0">
      <selection activeCell="I4" sqref="I4"/>
    </sheetView>
  </sheetViews>
  <sheetFormatPr defaultRowHeight="15"/>
  <cols>
    <col min="1" max="1" width="17.28515625" customWidth="1"/>
    <col min="2" max="2" width="12.5703125" bestFit="1" customWidth="1"/>
    <col min="3" max="3" width="14" bestFit="1" customWidth="1"/>
    <col min="4" max="4" width="12.28515625" bestFit="1" customWidth="1"/>
    <col min="5" max="5" width="14.5703125" bestFit="1" customWidth="1"/>
    <col min="11" max="11" width="22.140625" bestFit="1" customWidth="1"/>
    <col min="12" max="12" width="9.85546875" customWidth="1"/>
    <col min="13" max="15" width="9.7109375" bestFit="1" customWidth="1"/>
    <col min="17" max="17" width="9.5703125" customWidth="1"/>
    <col min="18" max="20" width="9.7109375" bestFit="1" customWidth="1"/>
    <col min="22" max="22" width="9.85546875" customWidth="1"/>
    <col min="23" max="25" width="9.7109375" bestFit="1" customWidth="1"/>
  </cols>
  <sheetData>
    <row r="1" spans="1:25">
      <c r="A1" s="466" t="s">
        <v>59</v>
      </c>
      <c r="B1" s="465" t="s">
        <v>60</v>
      </c>
      <c r="C1" s="465" t="s">
        <v>61</v>
      </c>
      <c r="D1" s="465" t="s">
        <v>62</v>
      </c>
      <c r="E1" s="467" t="s">
        <v>63</v>
      </c>
      <c r="F1" s="469">
        <v>0.25</v>
      </c>
      <c r="G1" s="468"/>
      <c r="H1" s="469">
        <v>0.75</v>
      </c>
    </row>
    <row r="2" spans="1:25" ht="18.75" customHeight="1">
      <c r="A2" s="450" t="s">
        <v>64</v>
      </c>
      <c r="B2" s="449">
        <f ca="1">M28+((M21-M28)*F1)</f>
        <v>233.85710604443051</v>
      </c>
      <c r="C2" s="449">
        <f t="shared" ref="C2:C7" ca="1" si="0">D2-B2</f>
        <v>393.92534281608772</v>
      </c>
      <c r="D2" s="449">
        <f ca="1">M28+((M21-M28)*H1)</f>
        <v>627.78244886051823</v>
      </c>
      <c r="E2" s="460"/>
      <c r="F2" s="460"/>
      <c r="G2" s="454"/>
      <c r="K2" s="107"/>
      <c r="L2" s="455" t="s">
        <v>16</v>
      </c>
      <c r="M2" s="456"/>
      <c r="N2" s="456"/>
      <c r="O2" s="456"/>
      <c r="Q2" s="455" t="s">
        <v>65</v>
      </c>
      <c r="R2" s="456"/>
      <c r="S2" s="456"/>
      <c r="T2" s="456"/>
      <c r="V2" s="455" t="s">
        <v>66</v>
      </c>
      <c r="W2" s="456"/>
      <c r="X2" s="456"/>
      <c r="Y2" s="456"/>
    </row>
    <row r="3" spans="1:25" ht="30.75" customHeight="1" thickBot="1">
      <c r="A3" s="450" t="s">
        <v>67</v>
      </c>
      <c r="B3" s="449">
        <f ca="1">N28+((N21-N28)*F1)</f>
        <v>184.18290741169727</v>
      </c>
      <c r="C3" s="449">
        <f t="shared" ca="1" si="0"/>
        <v>299.00632166816501</v>
      </c>
      <c r="D3" s="449">
        <f ca="1">N28+((N21-N28)*H1)</f>
        <v>483.18922907986229</v>
      </c>
      <c r="E3" s="460"/>
      <c r="F3" s="460"/>
      <c r="G3" s="454"/>
      <c r="K3" s="107"/>
      <c r="L3" s="453" t="s">
        <v>68</v>
      </c>
      <c r="M3" s="453" t="s">
        <v>69</v>
      </c>
      <c r="N3" s="453" t="s">
        <v>70</v>
      </c>
      <c r="O3" s="453" t="s">
        <v>71</v>
      </c>
      <c r="P3" s="453"/>
      <c r="Q3" s="453" t="s">
        <v>68</v>
      </c>
      <c r="R3" s="453" t="s">
        <v>69</v>
      </c>
      <c r="S3" s="453" t="s">
        <v>70</v>
      </c>
      <c r="T3" s="453" t="s">
        <v>72</v>
      </c>
      <c r="U3" s="453"/>
      <c r="V3" s="453" t="s">
        <v>68</v>
      </c>
      <c r="W3" s="453" t="s">
        <v>69</v>
      </c>
      <c r="X3" s="453" t="s">
        <v>70</v>
      </c>
      <c r="Y3" s="453" t="s">
        <v>71</v>
      </c>
    </row>
    <row r="4" spans="1:25">
      <c r="A4" s="450" t="s">
        <v>73</v>
      </c>
      <c r="B4" s="449">
        <f ca="1">O28+((O21-O28)*F1)</f>
        <v>176.39202980128522</v>
      </c>
      <c r="C4" s="449">
        <f t="shared" ca="1" si="0"/>
        <v>271.72885769114725</v>
      </c>
      <c r="D4" s="449">
        <f ca="1">O28+((O21-O28)*H1)</f>
        <v>448.12088749243247</v>
      </c>
      <c r="E4" s="460"/>
      <c r="F4" s="460"/>
      <c r="G4" s="454"/>
      <c r="K4" s="107" t="s">
        <v>40</v>
      </c>
      <c r="L4" s="461">
        <f ca="1">'Summary Output'!J19</f>
        <v>15.243330168869344</v>
      </c>
      <c r="M4" s="461">
        <f ca="1">'Summary Output'!M19</f>
        <v>102.64515641016708</v>
      </c>
      <c r="N4" s="461">
        <f ca="1">'Summary Output'!P19</f>
        <v>129.31062212728702</v>
      </c>
      <c r="O4" s="461">
        <f ca="1">'Summary Output'!S19</f>
        <v>116.59954743391211</v>
      </c>
      <c r="P4" s="462"/>
      <c r="Q4" s="461">
        <f ca="1">'Summary Output'!K19</f>
        <v>9.7527006985602274</v>
      </c>
      <c r="R4" s="461">
        <f ca="1">'Summary Output'!N19</f>
        <v>58.283439258119905</v>
      </c>
      <c r="S4" s="461">
        <f ca="1">'Summary Output'!Q19</f>
        <v>98.008553322307137</v>
      </c>
      <c r="T4" s="461">
        <f ca="1">'Summary Output'!T19</f>
        <v>48.267780949915924</v>
      </c>
      <c r="U4" s="461"/>
      <c r="V4" s="461">
        <f ca="1">'Summary Output'!L19</f>
        <v>6.6303688038505024</v>
      </c>
      <c r="W4" s="461">
        <f ca="1">'Summary Output'!O19</f>
        <v>50.308514719482588</v>
      </c>
      <c r="X4" s="461">
        <f ca="1">'Summary Output'!R19</f>
        <v>80.653921125299277</v>
      </c>
      <c r="Y4" s="461">
        <f ca="1">'Summary Output'!U19</f>
        <v>27.86760291894263</v>
      </c>
    </row>
    <row r="5" spans="1:25">
      <c r="A5" s="450" t="s">
        <v>74</v>
      </c>
      <c r="B5" s="449">
        <f ca="1">R28+((R21-R28)*F1)</f>
        <v>124.49677085224477</v>
      </c>
      <c r="C5" s="449">
        <f t="shared" ca="1" si="0"/>
        <v>218.94323189540324</v>
      </c>
      <c r="D5" s="449">
        <f ca="1">R28+((R21-R28)*H1)</f>
        <v>343.44000274764801</v>
      </c>
      <c r="E5" s="460"/>
      <c r="F5" s="460"/>
      <c r="G5" s="454"/>
      <c r="K5" s="107" t="s">
        <v>26</v>
      </c>
      <c r="L5" s="461">
        <f ca="1">'Summary Output'!J16</f>
        <v>45.017296931756711</v>
      </c>
      <c r="M5" s="461">
        <f ca="1">'Summary Output'!M16</f>
        <v>232.41246376811591</v>
      </c>
      <c r="N5" s="461">
        <f ca="1">'Summary Output'!P16</f>
        <v>217.0731368377445</v>
      </c>
      <c r="O5" s="461">
        <f ca="1">'Summary Output'!S16</f>
        <v>203.56743357670317</v>
      </c>
      <c r="P5" s="462"/>
      <c r="Q5" s="461">
        <f ca="1">'Summary Output'!K16</f>
        <v>28.43188480516973</v>
      </c>
      <c r="R5" s="461">
        <f ca="1">'Summary Output'!N16</f>
        <v>162.04536526300208</v>
      </c>
      <c r="S5" s="461">
        <f ca="1">'Summary Output'!Q16</f>
        <v>206.36677487487785</v>
      </c>
      <c r="T5" s="461">
        <f ca="1">'Summary Output'!T16</f>
        <v>78.178675943964592</v>
      </c>
      <c r="U5" s="461"/>
      <c r="V5" s="461">
        <f ca="1">'Summary Output'!L16</f>
        <v>18.104247886476475</v>
      </c>
      <c r="W5" s="461">
        <f ca="1">'Summary Output'!O16</f>
        <v>135.02786139091884</v>
      </c>
      <c r="X5" s="461">
        <f ca="1">'Summary Output'!R16</f>
        <v>164.45991979610605</v>
      </c>
      <c r="Y5" s="461">
        <f ca="1">'Summary Output'!U16</f>
        <v>48.398658242428738</v>
      </c>
    </row>
    <row r="6" spans="1:25">
      <c r="A6" s="450" t="s">
        <v>75</v>
      </c>
      <c r="B6" s="449">
        <f ca="1">S28+((S21-S28)*F1)</f>
        <v>121.89307831127481</v>
      </c>
      <c r="C6" s="449">
        <f t="shared" ca="1" si="0"/>
        <v>219.27574495766981</v>
      </c>
      <c r="D6" s="449">
        <f ca="1">S28+((S21-S28)*H1)</f>
        <v>341.16882326894461</v>
      </c>
      <c r="E6" s="460"/>
      <c r="F6" s="460"/>
      <c r="G6" s="454"/>
      <c r="K6" s="107" t="s">
        <v>38</v>
      </c>
      <c r="L6" s="461">
        <f ca="1">'Summary Output'!J17</f>
        <v>3.2640267189697276</v>
      </c>
      <c r="M6" s="461">
        <f ca="1">'Summary Output'!M17</f>
        <v>10.99583415044124</v>
      </c>
      <c r="N6" s="461">
        <f ca="1">'Summary Output'!P17</f>
        <v>12.619445382204004</v>
      </c>
      <c r="O6" s="461">
        <f ca="1">'Summary Output'!S17</f>
        <v>14.127238279395128</v>
      </c>
      <c r="P6" s="462"/>
      <c r="Q6" s="461">
        <f ca="1">'Summary Output'!K17</f>
        <v>2.3678164240757997</v>
      </c>
      <c r="R6" s="461">
        <f ca="1">'Summary Output'!N17</f>
        <v>6.14382734877407</v>
      </c>
      <c r="S6" s="461">
        <f ca="1">'Summary Output'!Q17</f>
        <v>6.5988326572604246</v>
      </c>
      <c r="T6" s="461">
        <f ca="1">'Summary Output'!T17</f>
        <v>15.458355378128358</v>
      </c>
      <c r="U6" s="461"/>
      <c r="V6" s="461">
        <f ca="1">'Summary Output'!L17</f>
        <v>1.726274611912868</v>
      </c>
      <c r="W6" s="461">
        <f ca="1">'Summary Output'!O17</f>
        <v>4.5644783149861894</v>
      </c>
      <c r="X6" s="461">
        <f ca="1">'Summary Output'!R17</f>
        <v>4.810929246314549</v>
      </c>
      <c r="Y6" s="461">
        <f ca="1">'Summary Output'!U17</f>
        <v>14.108881045613913</v>
      </c>
    </row>
    <row r="7" spans="1:25">
      <c r="A7" s="450" t="s">
        <v>76</v>
      </c>
      <c r="B7" s="449">
        <f ca="1">T28+((T21-T28)*F1)</f>
        <v>194.92660635261723</v>
      </c>
      <c r="C7" s="449">
        <f t="shared" ca="1" si="0"/>
        <v>196.31460337106739</v>
      </c>
      <c r="D7" s="449">
        <f ca="1">T28+((T21-T28)*H1)</f>
        <v>391.24120972368462</v>
      </c>
      <c r="E7" s="460"/>
      <c r="F7" s="460"/>
      <c r="G7" s="454"/>
      <c r="K7" s="107" t="s">
        <v>77</v>
      </c>
      <c r="L7" s="463">
        <f ca="1">'Summary Output'!E27</f>
        <v>25878</v>
      </c>
      <c r="M7" s="463">
        <f ca="1">'Summary Output'!G27</f>
        <v>8956</v>
      </c>
      <c r="N7" s="463">
        <f ca="1">'Summary Output'!H27</f>
        <v>7362</v>
      </c>
      <c r="O7" s="464">
        <f ca="1">'Summary Output'!J27</f>
        <v>2.8687560975609756</v>
      </c>
      <c r="P7" s="462"/>
      <c r="Q7" s="463">
        <f>'Nvidia Corporation'!E39</f>
        <v>42273</v>
      </c>
      <c r="R7" s="463">
        <f>'Nvidia Corporation'!E40</f>
        <v>7069.5459914064631</v>
      </c>
      <c r="S7" s="463">
        <f>'Nvidia Corporation'!E41</f>
        <v>5525.5459914064631</v>
      </c>
      <c r="T7" s="464">
        <f>'Nvidia Corporation'!E42</f>
        <v>6.26</v>
      </c>
      <c r="U7" s="461"/>
      <c r="V7" s="463">
        <f>'Nvidia Corporation'!E45</f>
        <v>66396</v>
      </c>
      <c r="W7" s="463">
        <f>'Nvidia Corporation'!E46</f>
        <v>8772.1388501770998</v>
      </c>
      <c r="X7" s="463">
        <f>'Nvidia Corporation'!E47</f>
        <v>7228.1388501770998</v>
      </c>
      <c r="Y7" s="464">
        <f>'Nvidia Corporation'!E48</f>
        <v>9.92</v>
      </c>
    </row>
    <row r="8" spans="1:25">
      <c r="K8" s="107"/>
      <c r="L8" s="47"/>
      <c r="M8" s="47"/>
      <c r="N8" s="47"/>
      <c r="O8" s="47"/>
      <c r="P8" s="107"/>
      <c r="Q8" s="47"/>
      <c r="R8" s="47"/>
      <c r="S8" s="47"/>
      <c r="T8" s="47"/>
      <c r="U8" s="47"/>
      <c r="V8" s="47"/>
      <c r="W8" s="47"/>
      <c r="X8" s="47"/>
      <c r="Y8" s="47"/>
    </row>
    <row r="9" spans="1:25">
      <c r="K9" s="457" t="s">
        <v>40</v>
      </c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</row>
    <row r="10" spans="1:25">
      <c r="K10" s="448" t="s">
        <v>78</v>
      </c>
      <c r="L10" s="446">
        <f ca="1">L4*L7</f>
        <v>394466.89811000088</v>
      </c>
      <c r="M10" s="446">
        <f t="shared" ref="M10:X10" ca="1" si="1">M4*M7</f>
        <v>919290.02080945636</v>
      </c>
      <c r="N10" s="446">
        <f t="shared" ca="1" si="1"/>
        <v>951984.80010108708</v>
      </c>
      <c r="O10" s="446">
        <f ca="1">O12-O11</f>
        <v>847536.13113189943</v>
      </c>
      <c r="P10" s="446"/>
      <c r="Q10" s="446">
        <f ca="1">Q4*Q7</f>
        <v>412275.91663023649</v>
      </c>
      <c r="R10" s="446">
        <f ca="1">R4*R7</f>
        <v>412037.45437262364</v>
      </c>
      <c r="S10" s="446">
        <f ca="1">S4*S7</f>
        <v>541550.76893362077</v>
      </c>
      <c r="T10" s="446">
        <f ca="1">T12-T11</f>
        <v>766138.50438349985</v>
      </c>
      <c r="U10" s="446"/>
      <c r="V10" s="446">
        <f t="shared" ca="1" si="1"/>
        <v>440229.96710045799</v>
      </c>
      <c r="W10" s="446">
        <f t="shared" ca="1" si="1"/>
        <v>441313.27646547969</v>
      </c>
      <c r="X10" s="446">
        <f t="shared" ca="1" si="1"/>
        <v>582977.74070489523</v>
      </c>
      <c r="Y10" s="446">
        <f ca="1">Y12-Y11</f>
        <v>701427.63924712897</v>
      </c>
    </row>
    <row r="11" spans="1:25">
      <c r="K11" s="448" t="s">
        <v>79</v>
      </c>
      <c r="L11" s="446">
        <f>SUM('Nvidia Corporation'!T13:T16)</f>
        <v>-5616</v>
      </c>
      <c r="M11" s="446">
        <f>$L$11</f>
        <v>-5616</v>
      </c>
      <c r="N11" s="446">
        <f t="shared" ref="N11:Y11" si="2">$L$11</f>
        <v>-5616</v>
      </c>
      <c r="O11" s="446">
        <f t="shared" si="2"/>
        <v>-5616</v>
      </c>
      <c r="P11" s="446"/>
      <c r="Q11" s="446">
        <f t="shared" si="2"/>
        <v>-5616</v>
      </c>
      <c r="R11" s="446">
        <f t="shared" si="2"/>
        <v>-5616</v>
      </c>
      <c r="S11" s="446">
        <f t="shared" si="2"/>
        <v>-5616</v>
      </c>
      <c r="T11" s="446">
        <f t="shared" si="2"/>
        <v>-5616</v>
      </c>
      <c r="U11" s="446"/>
      <c r="V11" s="446">
        <f t="shared" si="2"/>
        <v>-5616</v>
      </c>
      <c r="W11" s="446">
        <f t="shared" si="2"/>
        <v>-5616</v>
      </c>
      <c r="X11" s="446">
        <f t="shared" si="2"/>
        <v>-5616</v>
      </c>
      <c r="Y11" s="446">
        <f t="shared" si="2"/>
        <v>-5616</v>
      </c>
    </row>
    <row r="12" spans="1:25">
      <c r="K12" s="448" t="s">
        <v>80</v>
      </c>
      <c r="L12" s="451">
        <f ca="1">L10+L11</f>
        <v>388850.89811000088</v>
      </c>
      <c r="M12" s="451">
        <f t="shared" ref="M12:X12" ca="1" si="3">M10+M11</f>
        <v>913674.02080945636</v>
      </c>
      <c r="N12" s="451">
        <f t="shared" ca="1" si="3"/>
        <v>946368.80010108708</v>
      </c>
      <c r="O12" s="451">
        <f ca="1">O13*O7*O4</f>
        <v>841920.13113189943</v>
      </c>
      <c r="P12" s="446"/>
      <c r="Q12" s="451">
        <f t="shared" ca="1" si="3"/>
        <v>406659.91663023649</v>
      </c>
      <c r="R12" s="451">
        <f t="shared" ca="1" si="3"/>
        <v>406421.45437262364</v>
      </c>
      <c r="S12" s="451">
        <f t="shared" ca="1" si="3"/>
        <v>535934.76893362077</v>
      </c>
      <c r="T12" s="451">
        <f ca="1">T13*T7*T4</f>
        <v>760522.50438349985</v>
      </c>
      <c r="U12" s="446"/>
      <c r="V12" s="451">
        <f t="shared" ca="1" si="3"/>
        <v>434613.96710045799</v>
      </c>
      <c r="W12" s="451">
        <f t="shared" ca="1" si="3"/>
        <v>435697.27646547969</v>
      </c>
      <c r="X12" s="451">
        <f t="shared" ca="1" si="3"/>
        <v>577361.74070489523</v>
      </c>
      <c r="Y12" s="451">
        <f ca="1">Y13*Y7*Y4</f>
        <v>695811.63924712897</v>
      </c>
    </row>
    <row r="13" spans="1:25">
      <c r="K13" s="448" t="s">
        <v>81</v>
      </c>
      <c r="L13" s="446">
        <f>'Nvidia Corporation'!T27</f>
        <v>2516.9837013782872</v>
      </c>
      <c r="M13" s="446">
        <f>$L$13</f>
        <v>2516.9837013782872</v>
      </c>
      <c r="N13" s="446">
        <f t="shared" ref="N13:Y13" si="4">$L$13</f>
        <v>2516.9837013782872</v>
      </c>
      <c r="O13" s="446">
        <f t="shared" si="4"/>
        <v>2516.9837013782872</v>
      </c>
      <c r="P13" s="446"/>
      <c r="Q13" s="446">
        <f t="shared" si="4"/>
        <v>2516.9837013782872</v>
      </c>
      <c r="R13" s="446">
        <f t="shared" si="4"/>
        <v>2516.9837013782872</v>
      </c>
      <c r="S13" s="446">
        <f t="shared" si="4"/>
        <v>2516.9837013782872</v>
      </c>
      <c r="T13" s="446">
        <f t="shared" si="4"/>
        <v>2516.9837013782872</v>
      </c>
      <c r="U13" s="446"/>
      <c r="V13" s="446">
        <f t="shared" si="4"/>
        <v>2516.9837013782872</v>
      </c>
      <c r="W13" s="446">
        <f t="shared" si="4"/>
        <v>2516.9837013782872</v>
      </c>
      <c r="X13" s="446">
        <f t="shared" si="4"/>
        <v>2516.9837013782872</v>
      </c>
      <c r="Y13" s="446">
        <f t="shared" si="4"/>
        <v>2516.9837013782872</v>
      </c>
    </row>
    <row r="14" spans="1:25">
      <c r="K14" s="458" t="s">
        <v>82</v>
      </c>
      <c r="L14" s="452">
        <f ca="1">L12/L13</f>
        <v>154.49082880316951</v>
      </c>
      <c r="M14" s="452">
        <f t="shared" ref="M14:Y14" ca="1" si="5">M12/M13</f>
        <v>363.00355076162521</v>
      </c>
      <c r="N14" s="452">
        <f t="shared" ca="1" si="5"/>
        <v>375.99321743039513</v>
      </c>
      <c r="O14" s="452">
        <f t="shared" ca="1" si="5"/>
        <v>334.49566267388553</v>
      </c>
      <c r="P14" s="452"/>
      <c r="Q14" s="452">
        <f t="shared" ca="1" si="5"/>
        <v>161.56636866879657</v>
      </c>
      <c r="R14" s="452">
        <f t="shared" ca="1" si="5"/>
        <v>161.47162738879453</v>
      </c>
      <c r="S14" s="452">
        <f t="shared" ca="1" si="5"/>
        <v>212.92738949407806</v>
      </c>
      <c r="T14" s="452">
        <f t="shared" ca="1" si="5"/>
        <v>302.15630874647366</v>
      </c>
      <c r="U14" s="452"/>
      <c r="V14" s="452">
        <f t="shared" ca="1" si="5"/>
        <v>172.67253930268427</v>
      </c>
      <c r="W14" s="452">
        <f t="shared" ca="1" si="5"/>
        <v>173.10293913579739</v>
      </c>
      <c r="X14" s="452">
        <f t="shared" ca="1" si="5"/>
        <v>229.38636447615252</v>
      </c>
      <c r="Y14" s="452">
        <f t="shared" ca="1" si="5"/>
        <v>276.44662095591087</v>
      </c>
    </row>
    <row r="15" spans="1:25"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</row>
    <row r="16" spans="1:25">
      <c r="K16" s="459" t="s">
        <v>26</v>
      </c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</row>
    <row r="17" spans="5:25">
      <c r="K17" s="448" t="s">
        <v>78</v>
      </c>
      <c r="L17" s="446">
        <f ca="1">L7*L5</f>
        <v>1164957.6100000001</v>
      </c>
      <c r="M17" s="446">
        <f t="shared" ref="M17:N17" ca="1" si="6">M7*M5</f>
        <v>2081486.0255072461</v>
      </c>
      <c r="N17" s="446">
        <f t="shared" ca="1" si="6"/>
        <v>1598092.4333994749</v>
      </c>
      <c r="O17" s="446">
        <f ca="1">O19-O18</f>
        <v>1475497.5230670045</v>
      </c>
      <c r="P17" s="71"/>
      <c r="Q17" s="446">
        <f ca="1">Q7*Q5</f>
        <v>1201901.0663689401</v>
      </c>
      <c r="R17" s="446">
        <f t="shared" ref="R17:S17" ca="1" si="7">R7*R5</f>
        <v>1145587.1624210526</v>
      </c>
      <c r="S17" s="446">
        <f t="shared" ca="1" si="7"/>
        <v>1140289.1056693613</v>
      </c>
      <c r="T17" s="446">
        <f ca="1">T19-T18</f>
        <v>1237424.0766957982</v>
      </c>
      <c r="U17" s="71"/>
      <c r="V17" s="446">
        <f ca="1">V7*V5</f>
        <v>1202049.6426704919</v>
      </c>
      <c r="W17" s="446">
        <f t="shared" ref="W17:X17" ca="1" si="8">W7*W5</f>
        <v>1184483.1487636077</v>
      </c>
      <c r="X17" s="446">
        <f t="shared" ca="1" si="8"/>
        <v>1188739.135575244</v>
      </c>
      <c r="Y17" s="446">
        <f ca="1">Y19-Y18</f>
        <v>1214056.8489305286</v>
      </c>
    </row>
    <row r="18" spans="5:25">
      <c r="K18" s="448" t="s">
        <v>79</v>
      </c>
      <c r="L18" s="446">
        <f>$L$11</f>
        <v>-5616</v>
      </c>
      <c r="M18" s="446">
        <f t="shared" ref="M18:Y18" si="9">$L$11</f>
        <v>-5616</v>
      </c>
      <c r="N18" s="446">
        <f t="shared" si="9"/>
        <v>-5616</v>
      </c>
      <c r="O18" s="446">
        <f t="shared" si="9"/>
        <v>-5616</v>
      </c>
      <c r="P18" s="446"/>
      <c r="Q18" s="446">
        <f t="shared" si="9"/>
        <v>-5616</v>
      </c>
      <c r="R18" s="446">
        <f t="shared" si="9"/>
        <v>-5616</v>
      </c>
      <c r="S18" s="446">
        <f t="shared" si="9"/>
        <v>-5616</v>
      </c>
      <c r="T18" s="446">
        <f t="shared" si="9"/>
        <v>-5616</v>
      </c>
      <c r="U18" s="446"/>
      <c r="V18" s="446">
        <f t="shared" si="9"/>
        <v>-5616</v>
      </c>
      <c r="W18" s="446">
        <f t="shared" si="9"/>
        <v>-5616</v>
      </c>
      <c r="X18" s="446">
        <f t="shared" si="9"/>
        <v>-5616</v>
      </c>
      <c r="Y18" s="446">
        <f t="shared" si="9"/>
        <v>-5616</v>
      </c>
    </row>
    <row r="19" spans="5:25">
      <c r="K19" s="448" t="s">
        <v>80</v>
      </c>
      <c r="L19" s="451">
        <f ca="1">L17+L18</f>
        <v>1159341.6100000001</v>
      </c>
      <c r="M19" s="451">
        <f t="shared" ref="M19:N19" ca="1" si="10">M17+M18</f>
        <v>2075870.0255072461</v>
      </c>
      <c r="N19" s="451">
        <f t="shared" ca="1" si="10"/>
        <v>1592476.4333994749</v>
      </c>
      <c r="O19" s="451">
        <f ca="1">O20*O7*O5</f>
        <v>1469881.5230670045</v>
      </c>
      <c r="P19" s="71"/>
      <c r="Q19" s="451">
        <f ca="1">Q17+Q18</f>
        <v>1196285.0663689401</v>
      </c>
      <c r="R19" s="451">
        <f t="shared" ref="R19:S19" ca="1" si="11">R17+R18</f>
        <v>1139971.1624210526</v>
      </c>
      <c r="S19" s="451">
        <f t="shared" ca="1" si="11"/>
        <v>1134673.1056693613</v>
      </c>
      <c r="T19" s="451">
        <f ca="1">T20*T7*T5</f>
        <v>1231808.0766957982</v>
      </c>
      <c r="U19" s="71"/>
      <c r="V19" s="451">
        <f ca="1">V17+V18</f>
        <v>1196433.6426704919</v>
      </c>
      <c r="W19" s="451">
        <f t="shared" ref="W19:X19" ca="1" si="12">W17+W18</f>
        <v>1178867.1487636077</v>
      </c>
      <c r="X19" s="451">
        <f t="shared" ca="1" si="12"/>
        <v>1183123.135575244</v>
      </c>
      <c r="Y19" s="451">
        <f ca="1">Y20*Y7*Y5</f>
        <v>1208440.8489305286</v>
      </c>
    </row>
    <row r="20" spans="5:25">
      <c r="K20" s="448" t="s">
        <v>81</v>
      </c>
      <c r="L20" s="446">
        <f>$L$13</f>
        <v>2516.9837013782872</v>
      </c>
      <c r="M20" s="446">
        <f t="shared" ref="M20:Y20" si="13">$L$13</f>
        <v>2516.9837013782872</v>
      </c>
      <c r="N20" s="446">
        <f t="shared" si="13"/>
        <v>2516.9837013782872</v>
      </c>
      <c r="O20" s="446">
        <f t="shared" si="13"/>
        <v>2516.9837013782872</v>
      </c>
      <c r="P20" s="446"/>
      <c r="Q20" s="446">
        <f t="shared" si="13"/>
        <v>2516.9837013782872</v>
      </c>
      <c r="R20" s="446">
        <f t="shared" si="13"/>
        <v>2516.9837013782872</v>
      </c>
      <c r="S20" s="446">
        <f t="shared" si="13"/>
        <v>2516.9837013782872</v>
      </c>
      <c r="T20" s="446">
        <f t="shared" si="13"/>
        <v>2516.9837013782872</v>
      </c>
      <c r="U20" s="446"/>
      <c r="V20" s="446">
        <f t="shared" si="13"/>
        <v>2516.9837013782872</v>
      </c>
      <c r="W20" s="446">
        <f t="shared" si="13"/>
        <v>2516.9837013782872</v>
      </c>
      <c r="X20" s="446">
        <f t="shared" si="13"/>
        <v>2516.9837013782872</v>
      </c>
      <c r="Y20" s="446">
        <f t="shared" si="13"/>
        <v>2516.9837013782872</v>
      </c>
    </row>
    <row r="21" spans="5:25">
      <c r="K21" s="458" t="s">
        <v>82</v>
      </c>
      <c r="L21" s="452">
        <f ca="1">L19/L20</f>
        <v>460.60751579962584</v>
      </c>
      <c r="M21" s="452">
        <f t="shared" ref="M21:O21" ca="1" si="14">M19/M20</f>
        <v>824.74512026856212</v>
      </c>
      <c r="N21" s="452">
        <f t="shared" ca="1" si="14"/>
        <v>632.69238991394468</v>
      </c>
      <c r="O21" s="452">
        <f t="shared" ca="1" si="14"/>
        <v>583.9853163380061</v>
      </c>
      <c r="P21" s="107"/>
      <c r="Q21" s="452">
        <f ca="1">Q19/Q20</f>
        <v>475.28518588096563</v>
      </c>
      <c r="R21" s="452">
        <f t="shared" ref="R21:Y21" ca="1" si="15">R19/R20</f>
        <v>452.91161869534966</v>
      </c>
      <c r="S21" s="452">
        <f t="shared" ca="1" si="15"/>
        <v>450.80669574777949</v>
      </c>
      <c r="T21" s="452">
        <f t="shared" ca="1" si="15"/>
        <v>489.39851140921832</v>
      </c>
      <c r="U21" s="452"/>
      <c r="V21" s="452">
        <f t="shared" ca="1" si="15"/>
        <v>475.34421538579335</v>
      </c>
      <c r="W21" s="452">
        <f t="shared" ca="1" si="15"/>
        <v>468.36503077793719</v>
      </c>
      <c r="X21" s="452">
        <f t="shared" ca="1" si="15"/>
        <v>470.05593835485382</v>
      </c>
      <c r="Y21" s="452">
        <f t="shared" ca="1" si="15"/>
        <v>480.11468976489306</v>
      </c>
    </row>
    <row r="22" spans="5:25"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</row>
    <row r="23" spans="5:25">
      <c r="K23" s="459" t="s">
        <v>38</v>
      </c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</row>
    <row r="24" spans="5:25">
      <c r="K24" s="448" t="s">
        <v>78</v>
      </c>
      <c r="L24" s="446">
        <f ca="1">L7*L6</f>
        <v>84466.483433498608</v>
      </c>
      <c r="M24" s="446">
        <f t="shared" ref="M24:N24" ca="1" si="16">M7*M6</f>
        <v>98478.690651351746</v>
      </c>
      <c r="N24" s="446">
        <f t="shared" ca="1" si="16"/>
        <v>92904.356903785883</v>
      </c>
      <c r="O24" s="446">
        <f ca="1">O26-O25</f>
        <v>107623.31106148919</v>
      </c>
      <c r="P24" s="71"/>
      <c r="Q24" s="446">
        <f ca="1">Q7*Q6</f>
        <v>100094.70369495628</v>
      </c>
      <c r="R24" s="446">
        <f t="shared" ref="R24:S24" ca="1" si="17">R7*R6</f>
        <v>43434.070005419126</v>
      </c>
      <c r="S24" s="446">
        <f t="shared" ca="1" si="17"/>
        <v>36462.153337287396</v>
      </c>
      <c r="T24" s="446">
        <f ca="1">T26-T25</f>
        <v>249182.76264075903</v>
      </c>
      <c r="U24" s="71"/>
      <c r="V24" s="446">
        <f ca="1">V7*V6</f>
        <v>114617.72913256679</v>
      </c>
      <c r="W24" s="446">
        <f t="shared" ref="W24:X24" ca="1" si="18">W7*W6</f>
        <v>40040.237557681256</v>
      </c>
      <c r="X24" s="446">
        <f t="shared" ca="1" si="18"/>
        <v>34774.064590739428</v>
      </c>
      <c r="Y24" s="446">
        <f ca="1">Y26-Y25</f>
        <v>357893.29047403304</v>
      </c>
    </row>
    <row r="25" spans="5:25">
      <c r="K25" s="448" t="s">
        <v>79</v>
      </c>
      <c r="L25" s="446">
        <f>$L$18</f>
        <v>-5616</v>
      </c>
      <c r="M25" s="446">
        <f t="shared" ref="M25:Y25" si="19">$L$18</f>
        <v>-5616</v>
      </c>
      <c r="N25" s="446">
        <f t="shared" si="19"/>
        <v>-5616</v>
      </c>
      <c r="O25" s="446">
        <f t="shared" si="19"/>
        <v>-5616</v>
      </c>
      <c r="P25" s="446"/>
      <c r="Q25" s="446">
        <f t="shared" si="19"/>
        <v>-5616</v>
      </c>
      <c r="R25" s="446">
        <f t="shared" si="19"/>
        <v>-5616</v>
      </c>
      <c r="S25" s="446">
        <f t="shared" si="19"/>
        <v>-5616</v>
      </c>
      <c r="T25" s="446">
        <f t="shared" si="19"/>
        <v>-5616</v>
      </c>
      <c r="U25" s="446"/>
      <c r="V25" s="446">
        <f t="shared" si="19"/>
        <v>-5616</v>
      </c>
      <c r="W25" s="446">
        <f t="shared" si="19"/>
        <v>-5616</v>
      </c>
      <c r="X25" s="446">
        <f t="shared" si="19"/>
        <v>-5616</v>
      </c>
      <c r="Y25" s="446">
        <f t="shared" si="19"/>
        <v>-5616</v>
      </c>
    </row>
    <row r="26" spans="5:25">
      <c r="E26" s="447"/>
      <c r="K26" s="448" t="s">
        <v>80</v>
      </c>
      <c r="L26" s="451">
        <f ca="1">L24+L25</f>
        <v>78850.483433498608</v>
      </c>
      <c r="M26" s="451">
        <f t="shared" ref="M26:N26" ca="1" si="20">M24+M25</f>
        <v>92862.690651351746</v>
      </c>
      <c r="N26" s="451">
        <f t="shared" ca="1" si="20"/>
        <v>87288.356903785883</v>
      </c>
      <c r="O26" s="451">
        <f ca="1">O7*O27*O6</f>
        <v>102007.31106148919</v>
      </c>
      <c r="P26" s="71"/>
      <c r="Q26" s="451">
        <f ca="1">Q24+Q25</f>
        <v>94478.703694956275</v>
      </c>
      <c r="R26" s="451">
        <f t="shared" ref="R26:S26" ca="1" si="21">R24+R25</f>
        <v>37818.070005419126</v>
      </c>
      <c r="S26" s="451">
        <f t="shared" ca="1" si="21"/>
        <v>30846.153337287396</v>
      </c>
      <c r="T26" s="451">
        <f ca="1">T27*T7*T6</f>
        <v>243566.76264075903</v>
      </c>
      <c r="U26" s="71"/>
      <c r="V26" s="451">
        <f ca="1">V24+V25</f>
        <v>109001.72913256679</v>
      </c>
      <c r="W26" s="451">
        <f t="shared" ref="W26:X26" ca="1" si="22">W24+W25</f>
        <v>34424.237557681256</v>
      </c>
      <c r="X26" s="451">
        <f t="shared" ca="1" si="22"/>
        <v>29158.064590739428</v>
      </c>
      <c r="Y26" s="451">
        <f ca="1">Y27*Y7*Y6</f>
        <v>352277.29047403304</v>
      </c>
    </row>
    <row r="27" spans="5:25">
      <c r="K27" s="448" t="s">
        <v>81</v>
      </c>
      <c r="L27" s="446">
        <f>$L$20</f>
        <v>2516.9837013782872</v>
      </c>
      <c r="M27" s="446">
        <f t="shared" ref="M27:Y27" si="23">$L$20</f>
        <v>2516.9837013782872</v>
      </c>
      <c r="N27" s="446">
        <f t="shared" si="23"/>
        <v>2516.9837013782872</v>
      </c>
      <c r="O27" s="446">
        <f t="shared" si="23"/>
        <v>2516.9837013782872</v>
      </c>
      <c r="P27" s="446"/>
      <c r="Q27" s="446">
        <f t="shared" si="23"/>
        <v>2516.9837013782872</v>
      </c>
      <c r="R27" s="446">
        <f t="shared" si="23"/>
        <v>2516.9837013782872</v>
      </c>
      <c r="S27" s="446">
        <f t="shared" si="23"/>
        <v>2516.9837013782872</v>
      </c>
      <c r="T27" s="446">
        <f t="shared" si="23"/>
        <v>2516.9837013782872</v>
      </c>
      <c r="U27" s="446"/>
      <c r="V27" s="446">
        <f t="shared" si="23"/>
        <v>2516.9837013782872</v>
      </c>
      <c r="W27" s="446">
        <f t="shared" si="23"/>
        <v>2516.9837013782872</v>
      </c>
      <c r="X27" s="446">
        <f t="shared" si="23"/>
        <v>2516.9837013782872</v>
      </c>
      <c r="Y27" s="446">
        <f t="shared" si="23"/>
        <v>2516.9837013782872</v>
      </c>
    </row>
    <row r="28" spans="5:25">
      <c r="K28" s="458" t="s">
        <v>82</v>
      </c>
      <c r="L28" s="452">
        <f ca="1">L26/L27</f>
        <v>31.327371484495707</v>
      </c>
      <c r="M28" s="452">
        <f t="shared" ref="M28:Y28" ca="1" si="24">M26/M27</f>
        <v>36.894434636386649</v>
      </c>
      <c r="N28" s="452">
        <f t="shared" ca="1" si="24"/>
        <v>34.6797465776148</v>
      </c>
      <c r="O28" s="452">
        <f t="shared" ca="1" si="24"/>
        <v>40.527600955711598</v>
      </c>
      <c r="P28" s="452"/>
      <c r="Q28" s="452">
        <f t="shared" ca="1" si="24"/>
        <v>37.536478143748099</v>
      </c>
      <c r="R28" s="452">
        <f t="shared" ca="1" si="24"/>
        <v>15.025154904543143</v>
      </c>
      <c r="S28" s="452">
        <f t="shared" ca="1" si="24"/>
        <v>12.255205832439918</v>
      </c>
      <c r="T28" s="452">
        <f t="shared" ca="1" si="24"/>
        <v>96.769304667083517</v>
      </c>
      <c r="U28" s="452"/>
      <c r="V28" s="452">
        <f t="shared" ca="1" si="24"/>
        <v>43.306489856441267</v>
      </c>
      <c r="W28" s="452">
        <f t="shared" ca="1" si="24"/>
        <v>13.676782070074877</v>
      </c>
      <c r="X28" s="452">
        <f t="shared" ca="1" si="24"/>
        <v>11.584526580276473</v>
      </c>
      <c r="Y28" s="452">
        <f t="shared" ca="1" si="24"/>
        <v>139.96009997249001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1779-326E-4CDF-AD7E-53DB55843965}">
  <dimension ref="A1"/>
  <sheetViews>
    <sheetView showGridLines="0" workbookViewId="0"/>
  </sheetViews>
  <sheetFormatPr defaultRowHeight="15"/>
  <cols>
    <col min="1" max="16384" width="9.140625" style="415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A227-762E-4AB7-BF6C-B95BB17E7FB9}">
  <dimension ref="A1:AE75"/>
  <sheetViews>
    <sheetView showGridLines="0" tabSelected="1" topLeftCell="A21" zoomScale="85" zoomScaleNormal="85" workbookViewId="0">
      <selection activeCell="N57" sqref="N57"/>
    </sheetView>
  </sheetViews>
  <sheetFormatPr defaultRowHeight="15"/>
  <cols>
    <col min="2" max="2" width="24.5703125" customWidth="1"/>
    <col min="3" max="3" width="12.42578125" customWidth="1"/>
    <col min="4" max="4" width="11.7109375" customWidth="1"/>
    <col min="8" max="8" width="24.28515625" customWidth="1"/>
    <col min="11" max="11" width="11.85546875" customWidth="1"/>
    <col min="12" max="12" width="11.5703125" customWidth="1"/>
    <col min="13" max="13" width="10.42578125" bestFit="1" customWidth="1"/>
    <col min="17" max="17" width="10.28515625" customWidth="1"/>
    <col min="19" max="19" width="20.42578125" customWidth="1"/>
    <col min="20" max="20" width="14" bestFit="1" customWidth="1"/>
    <col min="26" max="28" width="11.28515625" bestFit="1" customWidth="1"/>
  </cols>
  <sheetData>
    <row r="1" spans="1:31" ht="20.25">
      <c r="A1" s="132" t="str">
        <f>E5&amp;" ("&amp;E7&amp;":"&amp;E6&amp;") Inputs"</f>
        <v>Nvidia (NASDAQ:NVDA) Inputs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/>
      <c r="Q1" s="134"/>
      <c r="R1" s="134"/>
      <c r="S1" s="134"/>
      <c r="T1" s="134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1">
      <c r="A2" s="135" t="str">
        <f>E9&amp;" in millions, except per share data"</f>
        <v>USD in millions, except per share data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471"/>
      <c r="Q2" s="471"/>
      <c r="R2" s="471"/>
      <c r="S2" s="471"/>
      <c r="T2" s="471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1:31" ht="15.75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6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</row>
    <row r="4" spans="1:31">
      <c r="A4" s="137" t="s">
        <v>5</v>
      </c>
      <c r="B4" s="138"/>
      <c r="C4" s="138"/>
      <c r="D4" s="138"/>
      <c r="E4" s="139"/>
      <c r="F4" s="133"/>
      <c r="G4" s="137" t="s">
        <v>83</v>
      </c>
      <c r="H4" s="138"/>
      <c r="I4" s="138"/>
      <c r="J4" s="138"/>
      <c r="K4" s="139"/>
      <c r="L4" s="137"/>
      <c r="M4" s="138"/>
      <c r="N4" s="138"/>
      <c r="O4" s="133"/>
      <c r="P4" s="137" t="s">
        <v>84</v>
      </c>
      <c r="Q4" s="138"/>
      <c r="R4" s="138"/>
      <c r="S4" s="138"/>
      <c r="T4" s="139"/>
      <c r="U4" s="140"/>
      <c r="V4" s="133"/>
      <c r="W4" s="141" t="s">
        <v>85</v>
      </c>
      <c r="X4" s="142"/>
      <c r="Y4" s="142"/>
      <c r="Z4" s="142"/>
      <c r="AA4" s="142"/>
      <c r="AB4" s="142"/>
      <c r="AC4" s="142"/>
      <c r="AD4" s="142"/>
      <c r="AE4" s="143"/>
    </row>
    <row r="5" spans="1:31">
      <c r="A5" s="144" t="s">
        <v>86</v>
      </c>
      <c r="B5" s="133"/>
      <c r="C5" s="133"/>
      <c r="D5" s="145"/>
      <c r="E5" s="402" t="s">
        <v>87</v>
      </c>
      <c r="F5" s="133"/>
      <c r="G5" s="146"/>
      <c r="H5" s="147"/>
      <c r="I5" s="147"/>
      <c r="J5" s="147"/>
      <c r="K5" s="133"/>
      <c r="L5" s="32" t="s">
        <v>88</v>
      </c>
      <c r="M5" s="32" t="s">
        <v>89</v>
      </c>
      <c r="N5" s="148"/>
      <c r="O5" s="133"/>
      <c r="P5" s="144" t="s">
        <v>90</v>
      </c>
      <c r="Q5" s="133"/>
      <c r="R5" s="133"/>
      <c r="S5" s="149">
        <v>45139</v>
      </c>
      <c r="T5" s="150">
        <v>465.07</v>
      </c>
      <c r="U5" s="140"/>
      <c r="V5" s="151"/>
      <c r="W5" s="152"/>
      <c r="X5" s="133"/>
      <c r="Y5" s="133"/>
      <c r="Z5" s="133"/>
      <c r="AA5" s="133"/>
      <c r="AB5" s="133"/>
      <c r="AC5" s="133"/>
      <c r="AD5" s="133"/>
      <c r="AE5" s="148"/>
    </row>
    <row r="6" spans="1:31">
      <c r="A6" s="144" t="s">
        <v>3</v>
      </c>
      <c r="B6" s="133"/>
      <c r="C6" s="133"/>
      <c r="D6" s="145"/>
      <c r="E6" s="402" t="s">
        <v>4</v>
      </c>
      <c r="F6" s="133"/>
      <c r="G6" s="153"/>
      <c r="H6" s="147"/>
      <c r="I6" s="154" t="str">
        <f>"Fiscal Year Ending "&amp;TEXT($E$8,"mmmm d")&amp;","</f>
        <v>Fiscal Year Ending January 29,</v>
      </c>
      <c r="J6" s="154"/>
      <c r="K6" s="154"/>
      <c r="L6" s="32" t="s">
        <v>91</v>
      </c>
      <c r="M6" s="32" t="s">
        <v>91</v>
      </c>
      <c r="N6" s="155" t="s">
        <v>16</v>
      </c>
      <c r="O6" s="133"/>
      <c r="P6" s="156" t="s">
        <v>92</v>
      </c>
      <c r="Q6" s="157"/>
      <c r="R6" s="157"/>
      <c r="S6" s="158"/>
      <c r="T6" s="159">
        <f>+IF(ISERROR(T5/T7),"NA",T5/T7)</f>
        <v>0.96712277491266008</v>
      </c>
      <c r="U6" s="140"/>
      <c r="V6" s="133"/>
      <c r="W6" s="409" t="s">
        <v>93</v>
      </c>
      <c r="X6" s="133"/>
      <c r="Y6" s="414" t="s">
        <v>94</v>
      </c>
      <c r="Z6" s="133"/>
      <c r="AA6" s="133"/>
      <c r="AB6" s="133"/>
      <c r="AC6" s="133"/>
      <c r="AD6" s="133"/>
      <c r="AE6" s="148"/>
    </row>
    <row r="7" spans="1:31">
      <c r="A7" s="144" t="s">
        <v>95</v>
      </c>
      <c r="B7" s="133"/>
      <c r="C7" s="133"/>
      <c r="D7" s="145"/>
      <c r="E7" s="402" t="s">
        <v>96</v>
      </c>
      <c r="F7" s="133"/>
      <c r="G7" s="152"/>
      <c r="H7" s="160"/>
      <c r="I7" s="161">
        <f>J7-365</f>
        <v>44225</v>
      </c>
      <c r="J7" s="161">
        <f>E8-365</f>
        <v>44590</v>
      </c>
      <c r="K7" s="161">
        <f>E8</f>
        <v>44955</v>
      </c>
      <c r="L7" s="162">
        <f>+M7-364</f>
        <v>44682</v>
      </c>
      <c r="M7" s="163">
        <v>45046</v>
      </c>
      <c r="N7" s="164">
        <f>+M7</f>
        <v>45046</v>
      </c>
      <c r="O7" s="133"/>
      <c r="P7" s="43" t="s">
        <v>97</v>
      </c>
      <c r="Q7" s="133"/>
      <c r="R7" s="133"/>
      <c r="S7" s="165"/>
      <c r="T7" s="166">
        <v>480.88</v>
      </c>
      <c r="U7" s="140"/>
      <c r="V7" s="133"/>
      <c r="W7" s="152" t="s">
        <v>98</v>
      </c>
      <c r="X7" s="133"/>
      <c r="Y7" s="407">
        <f>K8</f>
        <v>26974</v>
      </c>
      <c r="Z7" s="410">
        <f>Y7*(1+AC16)</f>
        <v>35285.529728266578</v>
      </c>
      <c r="AA7" s="410">
        <f>Z7*(1+AC16)</f>
        <v>46158.100697129994</v>
      </c>
      <c r="AB7" s="410">
        <f>AA7*(1+AC16)</f>
        <v>60380.849497623742</v>
      </c>
      <c r="AC7" s="133"/>
      <c r="AD7" s="133"/>
      <c r="AE7" s="148"/>
    </row>
    <row r="8" spans="1:31">
      <c r="A8" s="144" t="s">
        <v>99</v>
      </c>
      <c r="B8" s="133"/>
      <c r="C8" s="133"/>
      <c r="D8" s="167"/>
      <c r="E8" s="403">
        <v>44955</v>
      </c>
      <c r="F8" s="133"/>
      <c r="G8" s="168" t="s">
        <v>98</v>
      </c>
      <c r="H8" s="169"/>
      <c r="I8" s="170">
        <v>16675</v>
      </c>
      <c r="J8" s="170">
        <v>26914</v>
      </c>
      <c r="K8" s="170">
        <v>26974</v>
      </c>
      <c r="L8" s="171">
        <v>8288</v>
      </c>
      <c r="M8" s="172">
        <v>7192</v>
      </c>
      <c r="N8" s="173">
        <f>K8+M8-L8</f>
        <v>25878</v>
      </c>
      <c r="O8" s="133"/>
      <c r="P8" s="43" t="s">
        <v>100</v>
      </c>
      <c r="Q8" s="133"/>
      <c r="R8" s="133"/>
      <c r="S8" s="165"/>
      <c r="T8" s="166">
        <v>108.13</v>
      </c>
      <c r="U8" s="140"/>
      <c r="V8" s="133"/>
      <c r="W8" s="152" t="s">
        <v>101</v>
      </c>
      <c r="X8" s="133"/>
      <c r="Y8" s="196">
        <f>K9</f>
        <v>11618</v>
      </c>
      <c r="Z8" s="410">
        <f>Z7*(1-$AC$17)</f>
        <v>15197.86773867432</v>
      </c>
      <c r="AA8" s="410">
        <f t="shared" ref="AA8:AB8" si="0">AA7*(1-$AC$17)</f>
        <v>19880.80425221533</v>
      </c>
      <c r="AB8" s="410">
        <f t="shared" si="0"/>
        <v>26006.69939435726</v>
      </c>
      <c r="AC8" s="133"/>
      <c r="AD8" s="133"/>
      <c r="AE8" s="148"/>
    </row>
    <row r="9" spans="1:31">
      <c r="A9" s="144" t="s">
        <v>102</v>
      </c>
      <c r="B9" s="133"/>
      <c r="C9" s="133"/>
      <c r="D9" s="133"/>
      <c r="E9" s="402" t="s">
        <v>103</v>
      </c>
      <c r="F9" s="133"/>
      <c r="G9" s="174" t="s">
        <v>101</v>
      </c>
      <c r="H9" s="133"/>
      <c r="I9" s="175">
        <v>6279</v>
      </c>
      <c r="J9" s="175">
        <v>9439</v>
      </c>
      <c r="K9" s="175">
        <v>11618</v>
      </c>
      <c r="L9" s="176">
        <v>2857</v>
      </c>
      <c r="M9" s="177">
        <v>2544</v>
      </c>
      <c r="N9" s="178">
        <f>K9+M9-L9</f>
        <v>11305</v>
      </c>
      <c r="O9" s="179"/>
      <c r="P9" s="43" t="s">
        <v>104</v>
      </c>
      <c r="Q9" s="133"/>
      <c r="R9" s="133"/>
      <c r="S9" s="133"/>
      <c r="T9" s="166">
        <v>0.04</v>
      </c>
      <c r="U9" s="140"/>
      <c r="V9" s="133"/>
      <c r="W9" s="361" t="s">
        <v>105</v>
      </c>
      <c r="X9" s="133"/>
      <c r="Y9" s="407">
        <f>Y7-Y8</f>
        <v>15356</v>
      </c>
      <c r="Z9" s="410">
        <f>Z7-Z8</f>
        <v>20087.661989592256</v>
      </c>
      <c r="AA9" s="410">
        <f t="shared" ref="AA9:AB9" si="1">AA7-AA8</f>
        <v>26277.296444914664</v>
      </c>
      <c r="AB9" s="410">
        <f t="shared" si="1"/>
        <v>34374.150103266482</v>
      </c>
      <c r="AC9" s="133"/>
      <c r="AD9" s="133"/>
      <c r="AE9" s="148"/>
    </row>
    <row r="10" spans="1:31">
      <c r="A10" s="180" t="s">
        <v>106</v>
      </c>
      <c r="B10" s="181"/>
      <c r="C10" s="181"/>
      <c r="D10" s="181"/>
      <c r="E10" s="404">
        <v>0.21</v>
      </c>
      <c r="F10" s="133"/>
      <c r="G10" s="182" t="s">
        <v>105</v>
      </c>
      <c r="H10" s="133"/>
      <c r="I10" s="183">
        <f t="shared" ref="I10:N10" si="2">+I8-I9</f>
        <v>10396</v>
      </c>
      <c r="J10" s="183">
        <f t="shared" si="2"/>
        <v>17475</v>
      </c>
      <c r="K10" s="183">
        <f t="shared" si="2"/>
        <v>15356</v>
      </c>
      <c r="L10" s="184">
        <f t="shared" si="2"/>
        <v>5431</v>
      </c>
      <c r="M10" s="185">
        <f t="shared" si="2"/>
        <v>4648</v>
      </c>
      <c r="N10" s="173">
        <f t="shared" si="2"/>
        <v>14573</v>
      </c>
      <c r="O10" s="133"/>
      <c r="P10" s="186" t="s">
        <v>107</v>
      </c>
      <c r="Q10" s="133"/>
      <c r="R10" s="133"/>
      <c r="S10" s="133"/>
      <c r="T10" s="187">
        <f>+T27</f>
        <v>2516.9837013782872</v>
      </c>
      <c r="U10" s="140"/>
      <c r="V10" s="151"/>
      <c r="W10" s="152"/>
      <c r="X10" s="133"/>
      <c r="Y10" s="133"/>
      <c r="Z10" s="133"/>
      <c r="AA10" s="133"/>
      <c r="AB10" s="133"/>
      <c r="AC10" s="133"/>
      <c r="AD10" s="133"/>
      <c r="AE10" s="148"/>
    </row>
    <row r="11" spans="1:31">
      <c r="A11" s="133"/>
      <c r="B11" s="133"/>
      <c r="C11" s="133"/>
      <c r="D11" s="145"/>
      <c r="E11" s="145"/>
      <c r="F11" s="133"/>
      <c r="G11" s="174" t="s">
        <v>108</v>
      </c>
      <c r="H11" s="188"/>
      <c r="I11" s="189">
        <f>3924+1940</f>
        <v>5864</v>
      </c>
      <c r="J11" s="189">
        <f>5268+2166</f>
        <v>7434</v>
      </c>
      <c r="K11" s="190">
        <f>7339+2440+1353</f>
        <v>11132</v>
      </c>
      <c r="L11" s="191">
        <f>1618+592+1353</f>
        <v>3563</v>
      </c>
      <c r="M11" s="192">
        <f>1875+633</f>
        <v>2508</v>
      </c>
      <c r="N11" s="193">
        <f>K11+M11-L11</f>
        <v>10077</v>
      </c>
      <c r="O11" s="133"/>
      <c r="P11" s="194" t="s">
        <v>109</v>
      </c>
      <c r="Q11" s="133"/>
      <c r="R11" s="133"/>
      <c r="S11" s="133"/>
      <c r="T11" s="195">
        <f>+T10*T5</f>
        <v>1170573.6100000001</v>
      </c>
      <c r="U11" s="140"/>
      <c r="V11" s="196"/>
      <c r="W11" s="152" t="s">
        <v>110</v>
      </c>
      <c r="X11" s="133"/>
      <c r="Y11" s="196">
        <f>K11</f>
        <v>11132</v>
      </c>
      <c r="Z11" s="410">
        <f>Z7*$AC$18</f>
        <v>14562.115998185793</v>
      </c>
      <c r="AA11" s="410">
        <f t="shared" ref="AA11:AB11" si="3">AA7*$AC$18</f>
        <v>19049.157594737564</v>
      </c>
      <c r="AB11" s="410">
        <f t="shared" si="3"/>
        <v>24918.796493198915</v>
      </c>
      <c r="AC11" s="133"/>
      <c r="AD11" s="133"/>
      <c r="AE11" s="148"/>
    </row>
    <row r="12" spans="1:31">
      <c r="A12" s="137" t="s">
        <v>111</v>
      </c>
      <c r="B12" s="138"/>
      <c r="C12" s="138"/>
      <c r="D12" s="138"/>
      <c r="E12" s="139"/>
      <c r="F12" s="133"/>
      <c r="G12" s="182" t="s">
        <v>112</v>
      </c>
      <c r="H12" s="188"/>
      <c r="I12" s="197">
        <f>I10-I11</f>
        <v>4532</v>
      </c>
      <c r="J12" s="197">
        <f t="shared" ref="J12:N12" si="4">J10-J11</f>
        <v>10041</v>
      </c>
      <c r="K12" s="197">
        <f t="shared" si="4"/>
        <v>4224</v>
      </c>
      <c r="L12" s="198">
        <f t="shared" si="4"/>
        <v>1868</v>
      </c>
      <c r="M12" s="199">
        <f t="shared" si="4"/>
        <v>2140</v>
      </c>
      <c r="N12" s="200">
        <f t="shared" si="4"/>
        <v>4496</v>
      </c>
      <c r="O12" s="133"/>
      <c r="P12" s="144"/>
      <c r="Q12" s="133"/>
      <c r="R12" s="133"/>
      <c r="S12" s="133"/>
      <c r="T12" s="201"/>
      <c r="U12" s="133"/>
      <c r="V12" s="202"/>
      <c r="W12" s="361" t="s">
        <v>29</v>
      </c>
      <c r="X12" s="133"/>
      <c r="Y12" s="407">
        <f>Y13+$K$42</f>
        <v>5768</v>
      </c>
      <c r="Z12" s="410">
        <f>Z13+$K$42</f>
        <v>7069.5459914064631</v>
      </c>
      <c r="AA12" s="410">
        <f t="shared" ref="AA12:AB12" si="5">AA13+$K$42</f>
        <v>8772.1388501770998</v>
      </c>
      <c r="AB12" s="410">
        <f t="shared" si="5"/>
        <v>10999.353610067566</v>
      </c>
      <c r="AC12" s="133"/>
      <c r="AD12" s="133"/>
      <c r="AE12" s="148"/>
    </row>
    <row r="13" spans="1:31">
      <c r="A13" s="204"/>
      <c r="B13" s="205"/>
      <c r="C13" s="205"/>
      <c r="D13" s="206">
        <f>IF(K7=N7,J7,K7)</f>
        <v>44955</v>
      </c>
      <c r="E13" s="207">
        <f>N7</f>
        <v>45046</v>
      </c>
      <c r="F13" s="133"/>
      <c r="G13" s="174" t="s">
        <v>113</v>
      </c>
      <c r="H13" s="188"/>
      <c r="I13" s="208">
        <v>-57</v>
      </c>
      <c r="J13" s="208">
        <v>-29</v>
      </c>
      <c r="K13" s="208">
        <f>48</f>
        <v>48</v>
      </c>
      <c r="L13" s="209">
        <v>-18</v>
      </c>
      <c r="M13" s="210">
        <v>-150</v>
      </c>
      <c r="N13" s="193">
        <f>K13+M13-L13</f>
        <v>-84</v>
      </c>
      <c r="O13" s="133"/>
      <c r="P13" s="186" t="s">
        <v>114</v>
      </c>
      <c r="Q13" s="133"/>
      <c r="R13" s="133"/>
      <c r="S13" s="208"/>
      <c r="T13" s="211">
        <f>+IF(ISBLANK(S13),E26,S13)</f>
        <v>9704</v>
      </c>
      <c r="U13" s="140"/>
      <c r="V13" s="133"/>
      <c r="W13" s="406" t="s">
        <v>30</v>
      </c>
      <c r="X13" s="133"/>
      <c r="Y13" s="407">
        <f>Y9-Y11</f>
        <v>4224</v>
      </c>
      <c r="Z13" s="410">
        <f>Z9-Z11</f>
        <v>5525.5459914064631</v>
      </c>
      <c r="AA13" s="410">
        <f t="shared" ref="AA13:AB13" si="6">AA9-AA11</f>
        <v>7228.1388501770998</v>
      </c>
      <c r="AB13" s="410">
        <f t="shared" si="6"/>
        <v>9455.3536100675665</v>
      </c>
      <c r="AC13" s="133"/>
      <c r="AD13" s="133"/>
      <c r="AE13" s="148"/>
    </row>
    <row r="14" spans="1:31">
      <c r="A14" s="204" t="s">
        <v>115</v>
      </c>
      <c r="B14" s="212"/>
      <c r="C14" s="212"/>
      <c r="D14" s="213">
        <v>3389</v>
      </c>
      <c r="E14" s="214">
        <v>5079</v>
      </c>
      <c r="F14" s="133"/>
      <c r="G14" s="174" t="s">
        <v>116</v>
      </c>
      <c r="H14" s="188"/>
      <c r="I14" s="215">
        <f>184+-4</f>
        <v>180</v>
      </c>
      <c r="J14" s="215">
        <f>236+-107</f>
        <v>129</v>
      </c>
      <c r="K14" s="215">
        <f>-267+262</f>
        <v>-5</v>
      </c>
      <c r="L14" s="216">
        <f>68+13</f>
        <v>81</v>
      </c>
      <c r="M14" s="217">
        <f>66+15</f>
        <v>81</v>
      </c>
      <c r="N14" s="178">
        <f>K14+M14-L14</f>
        <v>-5</v>
      </c>
      <c r="O14" s="133"/>
      <c r="P14" s="186" t="s">
        <v>117</v>
      </c>
      <c r="Q14" s="133"/>
      <c r="R14" s="133"/>
      <c r="S14" s="133"/>
      <c r="T14" s="218">
        <f>+E31</f>
        <v>0</v>
      </c>
      <c r="U14" s="140"/>
      <c r="V14" s="133"/>
      <c r="W14" s="203"/>
      <c r="X14" s="133"/>
      <c r="Y14" s="133"/>
      <c r="Z14" s="133"/>
      <c r="AA14" s="133"/>
      <c r="AB14" s="133"/>
      <c r="AC14" s="133"/>
      <c r="AD14" s="133"/>
      <c r="AE14" s="148"/>
    </row>
    <row r="15" spans="1:31" ht="16.5">
      <c r="A15" s="219" t="s">
        <v>118</v>
      </c>
      <c r="B15" s="220"/>
      <c r="C15" s="220"/>
      <c r="D15" s="208">
        <v>9907</v>
      </c>
      <c r="E15" s="221">
        <v>10241</v>
      </c>
      <c r="F15" s="133"/>
      <c r="G15" s="182" t="s">
        <v>119</v>
      </c>
      <c r="H15" s="133"/>
      <c r="I15" s="183">
        <f>I12-SUM(I13:I14)</f>
        <v>4409</v>
      </c>
      <c r="J15" s="183">
        <f t="shared" ref="J15:N15" si="7">J12-SUM(J13:J14)</f>
        <v>9941</v>
      </c>
      <c r="K15" s="183">
        <f t="shared" si="7"/>
        <v>4181</v>
      </c>
      <c r="L15" s="184">
        <f t="shared" si="7"/>
        <v>1805</v>
      </c>
      <c r="M15" s="185">
        <f t="shared" si="7"/>
        <v>2209</v>
      </c>
      <c r="N15" s="173">
        <f t="shared" si="7"/>
        <v>4585</v>
      </c>
      <c r="O15" s="133"/>
      <c r="P15" s="186" t="s">
        <v>120</v>
      </c>
      <c r="Q15" s="133"/>
      <c r="R15" s="133"/>
      <c r="S15" s="133"/>
      <c r="T15" s="218">
        <f>+E30</f>
        <v>0</v>
      </c>
      <c r="U15" s="140"/>
      <c r="V15" s="133"/>
      <c r="W15" s="405" t="s">
        <v>121</v>
      </c>
      <c r="X15" s="133"/>
      <c r="Y15" s="133"/>
      <c r="Z15" s="133"/>
      <c r="AA15" s="133"/>
      <c r="AB15" s="133"/>
      <c r="AC15" s="133"/>
      <c r="AD15" s="133"/>
      <c r="AE15" s="148"/>
    </row>
    <row r="16" spans="1:31">
      <c r="A16" s="219" t="s">
        <v>122</v>
      </c>
      <c r="B16" s="220"/>
      <c r="C16" s="220"/>
      <c r="D16" s="208">
        <v>3827</v>
      </c>
      <c r="E16" s="221">
        <v>4080</v>
      </c>
      <c r="F16" s="133"/>
      <c r="G16" s="222" t="s">
        <v>123</v>
      </c>
      <c r="H16" s="133"/>
      <c r="I16" s="208">
        <v>77</v>
      </c>
      <c r="J16" s="208">
        <v>189</v>
      </c>
      <c r="K16" s="208">
        <v>-187</v>
      </c>
      <c r="L16" s="209">
        <v>187</v>
      </c>
      <c r="M16" s="210">
        <v>166</v>
      </c>
      <c r="N16" s="193">
        <f>K16+M16-L16</f>
        <v>-208</v>
      </c>
      <c r="O16" s="133"/>
      <c r="P16" s="186" t="s">
        <v>124</v>
      </c>
      <c r="Q16" s="133"/>
      <c r="R16" s="133"/>
      <c r="S16" s="133"/>
      <c r="T16" s="211">
        <f>-(E14+E15)</f>
        <v>-15320</v>
      </c>
      <c r="U16" s="140"/>
      <c r="V16" s="133"/>
      <c r="W16" s="203" t="s">
        <v>125</v>
      </c>
      <c r="X16" s="133"/>
      <c r="Y16" s="133"/>
      <c r="Z16" s="411"/>
      <c r="AA16" s="411">
        <f>J8/I8-1</f>
        <v>0.61403298350824587</v>
      </c>
      <c r="AB16" s="411">
        <f>K8/J8-1</f>
        <v>2.2293230289069932E-3</v>
      </c>
      <c r="AC16" s="412">
        <f>AVERAGE(AA16:AB16)</f>
        <v>0.30813115326857643</v>
      </c>
      <c r="AD16" s="133"/>
      <c r="AE16" s="148"/>
    </row>
    <row r="17" spans="1:31">
      <c r="A17" s="219" t="s">
        <v>126</v>
      </c>
      <c r="B17" s="223"/>
      <c r="C17" s="223"/>
      <c r="D17" s="215">
        <v>5950</v>
      </c>
      <c r="E17" s="224">
        <v>5483</v>
      </c>
      <c r="F17" s="133"/>
      <c r="G17" s="222" t="s">
        <v>127</v>
      </c>
      <c r="H17" s="133"/>
      <c r="I17" s="208">
        <v>0</v>
      </c>
      <c r="J17" s="208">
        <v>0</v>
      </c>
      <c r="K17" s="208">
        <v>0</v>
      </c>
      <c r="L17" s="209">
        <v>0</v>
      </c>
      <c r="M17" s="210">
        <v>0</v>
      </c>
      <c r="N17" s="225">
        <f>K17+M17-L17</f>
        <v>0</v>
      </c>
      <c r="O17" s="133"/>
      <c r="P17" s="194" t="s">
        <v>128</v>
      </c>
      <c r="Q17" s="133"/>
      <c r="R17" s="133"/>
      <c r="S17" s="133"/>
      <c r="T17" s="226">
        <f>SUM(T11:T16)</f>
        <v>1164957.6100000001</v>
      </c>
      <c r="U17" s="140"/>
      <c r="V17" s="133"/>
      <c r="W17" s="152" t="s">
        <v>129</v>
      </c>
      <c r="X17" s="133"/>
      <c r="Y17" s="133"/>
      <c r="Z17" s="411">
        <f>(I8-I9)/I8</f>
        <v>0.62344827586206897</v>
      </c>
      <c r="AA17" s="411">
        <f t="shared" ref="AA17:AB17" si="8">(J8-J9)/J8</f>
        <v>0.64929033216913135</v>
      </c>
      <c r="AB17" s="411">
        <f t="shared" si="8"/>
        <v>0.56928894490991322</v>
      </c>
      <c r="AC17" s="412">
        <f t="shared" ref="AC17:AC19" si="9">AB17</f>
        <v>0.56928894490991322</v>
      </c>
      <c r="AD17" s="133"/>
      <c r="AE17" s="148"/>
    </row>
    <row r="18" spans="1:31">
      <c r="A18" s="227" t="s">
        <v>130</v>
      </c>
      <c r="B18" s="220"/>
      <c r="C18" s="220"/>
      <c r="D18" s="228">
        <f>SUM(D14:D17)</f>
        <v>23073</v>
      </c>
      <c r="E18" s="229">
        <f>SUM(E14:E17)</f>
        <v>24883</v>
      </c>
      <c r="F18" s="133"/>
      <c r="G18" s="222" t="s">
        <v>131</v>
      </c>
      <c r="H18" s="133"/>
      <c r="I18" s="215">
        <v>0</v>
      </c>
      <c r="J18" s="215">
        <v>0</v>
      </c>
      <c r="K18" s="215">
        <v>0</v>
      </c>
      <c r="L18" s="216">
        <v>0</v>
      </c>
      <c r="M18" s="217">
        <v>0</v>
      </c>
      <c r="N18" s="225">
        <f>K18+M18-L18</f>
        <v>0</v>
      </c>
      <c r="O18" s="133"/>
      <c r="P18" s="180"/>
      <c r="Q18" s="181"/>
      <c r="R18" s="181"/>
      <c r="S18" s="181"/>
      <c r="T18" s="230"/>
      <c r="U18" s="140"/>
      <c r="V18" s="133"/>
      <c r="W18" s="152" t="s">
        <v>132</v>
      </c>
      <c r="X18" s="133"/>
      <c r="Y18" s="133"/>
      <c r="Z18" s="411">
        <f>I11/I8</f>
        <v>0.35166416791604199</v>
      </c>
      <c r="AA18" s="411">
        <f t="shared" ref="AA18:AB18" si="10">J11/J8</f>
        <v>0.2762131232815635</v>
      </c>
      <c r="AB18" s="411">
        <f t="shared" si="10"/>
        <v>0.41269370504930675</v>
      </c>
      <c r="AC18" s="412">
        <f t="shared" si="9"/>
        <v>0.41269370504930675</v>
      </c>
      <c r="AD18" s="133"/>
      <c r="AE18" s="148"/>
    </row>
    <row r="19" spans="1:31" ht="15.75" thickBot="1">
      <c r="A19" s="204"/>
      <c r="B19" s="205"/>
      <c r="C19" s="205"/>
      <c r="D19" s="205"/>
      <c r="E19" s="231"/>
      <c r="F19" s="133"/>
      <c r="G19" s="182" t="s">
        <v>133</v>
      </c>
      <c r="H19" s="133"/>
      <c r="I19" s="232">
        <f t="shared" ref="I19:N19" si="11">I15-SUM(I16:I18)</f>
        <v>4332</v>
      </c>
      <c r="J19" s="232">
        <f t="shared" si="11"/>
        <v>9752</v>
      </c>
      <c r="K19" s="232">
        <f t="shared" si="11"/>
        <v>4368</v>
      </c>
      <c r="L19" s="233">
        <f t="shared" si="11"/>
        <v>1618</v>
      </c>
      <c r="M19" s="234">
        <f t="shared" si="11"/>
        <v>2043</v>
      </c>
      <c r="N19" s="235">
        <f t="shared" si="11"/>
        <v>4793</v>
      </c>
      <c r="O19" s="133"/>
      <c r="P19" s="133"/>
      <c r="Q19" s="133"/>
      <c r="R19" s="133"/>
      <c r="S19" s="133"/>
      <c r="T19" s="133"/>
      <c r="U19" s="140"/>
      <c r="V19" s="133"/>
      <c r="W19" s="152" t="s">
        <v>134</v>
      </c>
      <c r="X19" s="133"/>
      <c r="Y19" s="133"/>
      <c r="Z19" s="411">
        <f>I44/I8</f>
        <v>0.42140929535232385</v>
      </c>
      <c r="AA19" s="411">
        <f t="shared" ref="AA19:AB19" si="12">J44/J8</f>
        <v>0.49115701865200267</v>
      </c>
      <c r="AB19" s="411">
        <f t="shared" si="12"/>
        <v>0.31426558908578633</v>
      </c>
      <c r="AC19" s="412">
        <f t="shared" si="9"/>
        <v>0.31426558908578633</v>
      </c>
      <c r="AD19" s="133"/>
      <c r="AE19" s="148"/>
    </row>
    <row r="20" spans="1:31" ht="15.75" thickTop="1">
      <c r="A20" s="219" t="s">
        <v>135</v>
      </c>
      <c r="B20" s="236"/>
      <c r="C20" s="236"/>
      <c r="D20" s="208">
        <v>3807</v>
      </c>
      <c r="E20" s="221">
        <v>3740</v>
      </c>
      <c r="F20" s="133"/>
      <c r="G20" s="237" t="s">
        <v>136</v>
      </c>
      <c r="H20" s="133"/>
      <c r="I20" s="238">
        <f t="shared" ref="I20:N20" si="13">IF(OR(I15&lt;0,ISERROR(I16/I15)),"NA",(I16/I15))</f>
        <v>1.7464277613971423E-2</v>
      </c>
      <c r="J20" s="238">
        <f t="shared" si="13"/>
        <v>1.9012171813700834E-2</v>
      </c>
      <c r="K20" s="239">
        <f>IF(OR(K15&lt;0,ISERROR(K16/K15)),"NA",(K16/K15))</f>
        <v>-4.4726142071274816E-2</v>
      </c>
      <c r="L20" s="238">
        <f t="shared" si="13"/>
        <v>0.10360110803324099</v>
      </c>
      <c r="M20" s="239">
        <f t="shared" si="13"/>
        <v>7.5147125396106837E-2</v>
      </c>
      <c r="N20" s="240">
        <f t="shared" si="13"/>
        <v>-4.5365321701199564E-2</v>
      </c>
      <c r="O20" s="133"/>
      <c r="P20" s="137" t="s">
        <v>137</v>
      </c>
      <c r="Q20" s="138"/>
      <c r="R20" s="138"/>
      <c r="S20" s="138"/>
      <c r="T20" s="139"/>
      <c r="U20" s="140"/>
      <c r="V20" s="133"/>
      <c r="W20" s="152"/>
      <c r="X20" s="133"/>
      <c r="Y20" s="133"/>
      <c r="Z20" s="133"/>
      <c r="AA20" s="133"/>
      <c r="AB20" s="133"/>
      <c r="AC20" s="133"/>
      <c r="AD20" s="133"/>
      <c r="AE20" s="148"/>
    </row>
    <row r="21" spans="1:31">
      <c r="A21" s="219" t="s">
        <v>138</v>
      </c>
      <c r="B21" s="220"/>
      <c r="C21" s="220"/>
      <c r="D21" s="208">
        <f>4372+1676</f>
        <v>6048</v>
      </c>
      <c r="E21" s="241">
        <f>4430+1541</f>
        <v>5971</v>
      </c>
      <c r="F21" s="133"/>
      <c r="G21" s="152" t="s">
        <v>139</v>
      </c>
      <c r="H21" s="133"/>
      <c r="I21" s="208">
        <v>2510</v>
      </c>
      <c r="J21" s="208">
        <v>2535</v>
      </c>
      <c r="K21" s="208">
        <v>2507</v>
      </c>
      <c r="L21" s="209">
        <v>2537</v>
      </c>
      <c r="M21" s="210">
        <v>2490</v>
      </c>
      <c r="N21" s="193">
        <f>+IF(ISERROR(K21+M21-L21),"NA",K21+M21-L21)</f>
        <v>2460</v>
      </c>
      <c r="O21" s="133"/>
      <c r="P21" s="242" t="s">
        <v>140</v>
      </c>
      <c r="Q21" s="243"/>
      <c r="R21" s="243"/>
      <c r="S21" s="243"/>
      <c r="T21" s="221">
        <v>2470</v>
      </c>
      <c r="U21" s="140"/>
      <c r="V21" s="133"/>
      <c r="W21" s="152"/>
      <c r="X21" s="133"/>
      <c r="Y21" s="133"/>
      <c r="Z21" s="133"/>
      <c r="AA21" s="133"/>
      <c r="AB21" s="133"/>
      <c r="AC21" s="133"/>
      <c r="AD21" s="133"/>
      <c r="AE21" s="148"/>
    </row>
    <row r="22" spans="1:31">
      <c r="A22" s="219" t="s">
        <v>141</v>
      </c>
      <c r="B22" s="236"/>
      <c r="C22" s="236"/>
      <c r="D22" s="215">
        <f>1038+3396+3820</f>
        <v>8254</v>
      </c>
      <c r="E22" s="244">
        <f>1094+4568+4204</f>
        <v>9866</v>
      </c>
      <c r="F22" s="133"/>
      <c r="G22" s="245" t="s">
        <v>142</v>
      </c>
      <c r="H22" s="246"/>
      <c r="I22" s="247">
        <f>IF(ISERROR(I19/I21),"NA",I19/I21)</f>
        <v>1.7258964143426294</v>
      </c>
      <c r="J22" s="247">
        <f>+IF(ISERROR(J19/J21),"NA",J19/J21)</f>
        <v>3.8469428007889546</v>
      </c>
      <c r="K22" s="247">
        <f>+IF(ISERROR(K19/K21),"NA",K19/K21)</f>
        <v>1.7423214998005585</v>
      </c>
      <c r="L22" s="248">
        <f>+IF(ISERROR(L19/L21),"NA",L19/L21)</f>
        <v>0.63776113519905397</v>
      </c>
      <c r="M22" s="249">
        <f>+IF(ISERROR(M19/M21),"NA",M19/M21)</f>
        <v>0.82048192771084338</v>
      </c>
      <c r="N22" s="250">
        <f>+IF(ISERROR(K22+M22-L22),"NA",K22+M22-L22)</f>
        <v>1.925042292312348</v>
      </c>
      <c r="O22" s="133"/>
      <c r="P22" s="242" t="s">
        <v>143</v>
      </c>
      <c r="Q22" s="243"/>
      <c r="R22" s="243"/>
      <c r="S22" s="243"/>
      <c r="T22" s="211">
        <f>+S37</f>
        <v>2</v>
      </c>
      <c r="U22" s="140"/>
      <c r="V22" s="133"/>
      <c r="W22" s="152"/>
      <c r="X22" s="133"/>
      <c r="Y22" s="133"/>
      <c r="Z22" s="133"/>
      <c r="AA22" s="133"/>
      <c r="AB22" s="133"/>
      <c r="AC22" s="133"/>
      <c r="AD22" s="133"/>
      <c r="AE22" s="148"/>
    </row>
    <row r="23" spans="1:31">
      <c r="A23" s="227" t="s">
        <v>144</v>
      </c>
      <c r="B23" s="220"/>
      <c r="C23" s="220"/>
      <c r="D23" s="251">
        <f>SUM(D18:D22)</f>
        <v>41182</v>
      </c>
      <c r="E23" s="252">
        <f>SUM(E18:E22)</f>
        <v>44460</v>
      </c>
      <c r="F23" s="133"/>
      <c r="G23" s="253"/>
      <c r="H23" s="181"/>
      <c r="I23" s="181"/>
      <c r="J23" s="181"/>
      <c r="K23" s="181"/>
      <c r="L23" s="181"/>
      <c r="M23" s="181"/>
      <c r="N23" s="254"/>
      <c r="O23" s="133"/>
      <c r="P23" s="242" t="s">
        <v>145</v>
      </c>
      <c r="Q23" s="243"/>
      <c r="R23" s="243"/>
      <c r="S23" s="243"/>
      <c r="T23" s="211">
        <f>IF(ISERROR(-T37/T5),0,-T37/T5)</f>
        <v>-1.629862171286043E-2</v>
      </c>
      <c r="U23" s="140"/>
      <c r="V23" s="133"/>
      <c r="W23" s="152"/>
      <c r="X23" s="133"/>
      <c r="Y23" s="133"/>
      <c r="Z23" s="133"/>
      <c r="AA23" s="133"/>
      <c r="AB23" s="133"/>
      <c r="AC23" s="133"/>
      <c r="AD23" s="133"/>
      <c r="AE23" s="148"/>
    </row>
    <row r="24" spans="1:31">
      <c r="A24" s="204"/>
      <c r="B24" s="205"/>
      <c r="C24" s="205"/>
      <c r="D24" s="205"/>
      <c r="E24" s="231"/>
      <c r="F24" s="133"/>
      <c r="G24" s="137" t="s">
        <v>146</v>
      </c>
      <c r="H24" s="138"/>
      <c r="I24" s="138"/>
      <c r="J24" s="138"/>
      <c r="K24" s="139"/>
      <c r="L24" s="137"/>
      <c r="M24" s="138"/>
      <c r="N24" s="138"/>
      <c r="O24" s="133"/>
      <c r="P24" s="255" t="s">
        <v>147</v>
      </c>
      <c r="Q24" s="256"/>
      <c r="R24" s="256"/>
      <c r="S24" s="256"/>
      <c r="T24" s="257">
        <f>IF(ISERROR(T22+T23),0,T22+T23)</f>
        <v>1.9837013782871395</v>
      </c>
      <c r="U24" s="140"/>
      <c r="V24" s="133"/>
      <c r="W24" s="152"/>
      <c r="X24" s="133"/>
      <c r="Y24" s="133"/>
      <c r="Z24" s="133"/>
      <c r="AA24" s="133"/>
      <c r="AB24" s="133"/>
      <c r="AC24" s="133"/>
      <c r="AD24" s="133"/>
      <c r="AE24" s="148"/>
    </row>
    <row r="25" spans="1:31">
      <c r="A25" s="258" t="s">
        <v>148</v>
      </c>
      <c r="B25" s="236"/>
      <c r="C25" s="236"/>
      <c r="D25" s="259">
        <v>6563</v>
      </c>
      <c r="E25" s="260">
        <v>7260</v>
      </c>
      <c r="F25" s="261"/>
      <c r="G25" s="152"/>
      <c r="H25" s="133"/>
      <c r="I25" s="147"/>
      <c r="J25" s="147"/>
      <c r="K25" s="133"/>
      <c r="L25" s="32" t="s">
        <v>88</v>
      </c>
      <c r="M25" s="32" t="s">
        <v>89</v>
      </c>
      <c r="N25" s="148"/>
      <c r="O25" s="133"/>
      <c r="P25" s="186" t="s">
        <v>149</v>
      </c>
      <c r="Q25" s="243"/>
      <c r="R25" s="243"/>
      <c r="S25" s="243"/>
      <c r="T25" s="262">
        <f>+T44</f>
        <v>0</v>
      </c>
      <c r="U25" s="140"/>
      <c r="V25" s="133"/>
      <c r="W25" s="152"/>
      <c r="X25" s="133"/>
      <c r="Y25" s="133"/>
      <c r="Z25" s="133"/>
      <c r="AA25" s="133"/>
      <c r="AB25" s="133"/>
      <c r="AC25" s="133"/>
      <c r="AD25" s="133"/>
      <c r="AE25" s="148"/>
    </row>
    <row r="26" spans="1:31">
      <c r="A26" s="258" t="s">
        <v>150</v>
      </c>
      <c r="B26" s="220"/>
      <c r="C26" s="220"/>
      <c r="D26" s="208">
        <v>9703</v>
      </c>
      <c r="E26" s="221">
        <v>9704</v>
      </c>
      <c r="F26" s="133"/>
      <c r="G26" s="152"/>
      <c r="H26" s="133"/>
      <c r="I26" s="154" t="str">
        <f>"Fiscal Year Ending "&amp;TEXT($E$8,"mmmm d")&amp;","</f>
        <v>Fiscal Year Ending January 29,</v>
      </c>
      <c r="J26" s="154"/>
      <c r="K26" s="154"/>
      <c r="L26" s="32" t="s">
        <v>91</v>
      </c>
      <c r="M26" s="32" t="s">
        <v>91</v>
      </c>
      <c r="N26" s="155" t="s">
        <v>16</v>
      </c>
      <c r="O26" s="133"/>
      <c r="P26" s="186" t="s">
        <v>151</v>
      </c>
      <c r="Q26" s="243"/>
      <c r="R26" s="243"/>
      <c r="S26" s="243"/>
      <c r="T26" s="224">
        <v>45</v>
      </c>
      <c r="U26" s="140"/>
      <c r="V26" s="133"/>
      <c r="W26" s="152"/>
      <c r="X26" s="133"/>
      <c r="Y26" s="133"/>
      <c r="Z26" s="133"/>
      <c r="AA26" s="133"/>
      <c r="AB26" s="133"/>
      <c r="AC26" s="133"/>
      <c r="AD26" s="133"/>
      <c r="AE26" s="148"/>
    </row>
    <row r="27" spans="1:31">
      <c r="A27" s="258" t="s">
        <v>152</v>
      </c>
      <c r="B27" s="263"/>
      <c r="C27" s="263"/>
      <c r="D27" s="215">
        <f>902+1913</f>
        <v>2815</v>
      </c>
      <c r="E27" s="244">
        <f>939+2037</f>
        <v>2976</v>
      </c>
      <c r="F27" s="133"/>
      <c r="G27" s="264"/>
      <c r="H27" s="134"/>
      <c r="I27" s="161">
        <f t="shared" ref="I27:N27" si="14">+I7</f>
        <v>44225</v>
      </c>
      <c r="J27" s="161">
        <f t="shared" si="14"/>
        <v>44590</v>
      </c>
      <c r="K27" s="161">
        <f t="shared" si="14"/>
        <v>44955</v>
      </c>
      <c r="L27" s="162">
        <f t="shared" si="14"/>
        <v>44682</v>
      </c>
      <c r="M27" s="163">
        <f t="shared" si="14"/>
        <v>45046</v>
      </c>
      <c r="N27" s="164">
        <f t="shared" si="14"/>
        <v>45046</v>
      </c>
      <c r="O27" s="151"/>
      <c r="P27" s="255" t="s">
        <v>153</v>
      </c>
      <c r="Q27" s="243"/>
      <c r="R27" s="243"/>
      <c r="S27" s="243"/>
      <c r="T27" s="265">
        <f>T21+SUM(T24:T26)</f>
        <v>2516.9837013782872</v>
      </c>
      <c r="U27" s="140"/>
      <c r="V27" s="133"/>
      <c r="W27" s="152"/>
      <c r="X27" s="133"/>
      <c r="Y27" s="133"/>
      <c r="Z27" s="133"/>
      <c r="AA27" s="133"/>
      <c r="AB27" s="133"/>
      <c r="AC27" s="133"/>
      <c r="AD27" s="133"/>
      <c r="AE27" s="148"/>
    </row>
    <row r="28" spans="1:31">
      <c r="A28" s="227" t="s">
        <v>154</v>
      </c>
      <c r="B28" s="205"/>
      <c r="C28" s="205"/>
      <c r="D28" s="228">
        <f>D25+SUM(D26:D27)</f>
        <v>19081</v>
      </c>
      <c r="E28" s="229">
        <f>E25+SUM(E26:E27)</f>
        <v>19940</v>
      </c>
      <c r="F28" s="151"/>
      <c r="G28" s="152" t="s">
        <v>155</v>
      </c>
      <c r="H28" s="133"/>
      <c r="I28" s="266">
        <f t="shared" ref="I28:N28" si="15">I10</f>
        <v>10396</v>
      </c>
      <c r="J28" s="266">
        <f t="shared" si="15"/>
        <v>17475</v>
      </c>
      <c r="K28" s="266">
        <f t="shared" si="15"/>
        <v>15356</v>
      </c>
      <c r="L28" s="267">
        <f t="shared" si="15"/>
        <v>5431</v>
      </c>
      <c r="M28" s="268">
        <f t="shared" si="15"/>
        <v>4648</v>
      </c>
      <c r="N28" s="269">
        <f t="shared" si="15"/>
        <v>14573</v>
      </c>
      <c r="O28" s="133"/>
      <c r="P28" s="144"/>
      <c r="Q28" s="133"/>
      <c r="R28" s="133"/>
      <c r="S28" s="133"/>
      <c r="T28" s="201"/>
      <c r="U28" s="133"/>
      <c r="V28" s="133"/>
      <c r="W28" s="152"/>
      <c r="X28" s="133"/>
      <c r="Y28" s="133"/>
      <c r="Z28" s="133"/>
      <c r="AA28" s="133"/>
      <c r="AB28" s="133"/>
      <c r="AC28" s="133"/>
      <c r="AD28" s="133"/>
      <c r="AE28" s="148"/>
    </row>
    <row r="29" spans="1:31">
      <c r="A29" s="204"/>
      <c r="B29" s="205"/>
      <c r="C29" s="205"/>
      <c r="D29" s="270"/>
      <c r="E29" s="271"/>
      <c r="F29" s="151"/>
      <c r="G29" s="152" t="s">
        <v>156</v>
      </c>
      <c r="H29" s="133"/>
      <c r="I29" s="215">
        <v>0</v>
      </c>
      <c r="J29" s="215">
        <v>0</v>
      </c>
      <c r="K29" s="215">
        <v>0</v>
      </c>
      <c r="L29" s="216">
        <v>0</v>
      </c>
      <c r="M29" s="217">
        <v>0</v>
      </c>
      <c r="N29" s="178">
        <f>K29+M29-L29</f>
        <v>0</v>
      </c>
      <c r="O29" s="272"/>
      <c r="P29" s="273" t="s">
        <v>157</v>
      </c>
      <c r="Q29" s="274"/>
      <c r="R29" s="274"/>
      <c r="S29" s="274"/>
      <c r="T29" s="275"/>
      <c r="U29" s="140"/>
      <c r="V29" s="133"/>
      <c r="W29" s="152"/>
      <c r="X29" s="133"/>
      <c r="Y29" s="133"/>
      <c r="Z29" s="133"/>
      <c r="AA29" s="133"/>
      <c r="AB29" s="133"/>
      <c r="AC29" s="133"/>
      <c r="AD29" s="133"/>
      <c r="AE29" s="148"/>
    </row>
    <row r="30" spans="1:31">
      <c r="A30" s="276" t="s">
        <v>127</v>
      </c>
      <c r="B30" s="277"/>
      <c r="C30" s="277"/>
      <c r="D30" s="208">
        <v>0</v>
      </c>
      <c r="E30" s="241">
        <v>0</v>
      </c>
      <c r="F30" s="133"/>
      <c r="G30" s="182" t="s">
        <v>158</v>
      </c>
      <c r="H30" s="133"/>
      <c r="I30" s="183">
        <f t="shared" ref="I30:N30" si="16">SUM(I28:I29)</f>
        <v>10396</v>
      </c>
      <c r="J30" s="183">
        <f t="shared" si="16"/>
        <v>17475</v>
      </c>
      <c r="K30" s="183">
        <f t="shared" si="16"/>
        <v>15356</v>
      </c>
      <c r="L30" s="184">
        <f t="shared" si="16"/>
        <v>5431</v>
      </c>
      <c r="M30" s="185">
        <f t="shared" si="16"/>
        <v>4648</v>
      </c>
      <c r="N30" s="173">
        <f t="shared" si="16"/>
        <v>14573</v>
      </c>
      <c r="O30" s="133"/>
      <c r="P30" s="278"/>
      <c r="Q30" s="32" t="s">
        <v>159</v>
      </c>
      <c r="R30" s="32" t="s">
        <v>160</v>
      </c>
      <c r="S30" s="32" t="s">
        <v>161</v>
      </c>
      <c r="T30" s="279"/>
      <c r="U30" s="280"/>
      <c r="V30" s="133"/>
      <c r="W30" s="152"/>
      <c r="X30" s="133"/>
      <c r="Y30" s="133"/>
      <c r="Z30" s="133"/>
      <c r="AA30" s="133"/>
      <c r="AB30" s="133"/>
      <c r="AC30" s="133"/>
      <c r="AD30" s="133"/>
      <c r="AE30" s="148"/>
    </row>
    <row r="31" spans="1:31">
      <c r="A31" s="258" t="s">
        <v>162</v>
      </c>
      <c r="B31" s="223"/>
      <c r="C31" s="223"/>
      <c r="D31" s="208">
        <v>0</v>
      </c>
      <c r="E31" s="241">
        <v>0</v>
      </c>
      <c r="F31" s="133"/>
      <c r="G31" s="281" t="s">
        <v>163</v>
      </c>
      <c r="H31" s="157"/>
      <c r="I31" s="282">
        <f t="shared" ref="I31:N31" si="17">IF(ISERROR(I30/I8),"NA",I30/I8)</f>
        <v>0.62344827586206897</v>
      </c>
      <c r="J31" s="282">
        <f t="shared" si="17"/>
        <v>0.64929033216913135</v>
      </c>
      <c r="K31" s="282">
        <f>IF(ISERROR(K30/K8),"NA",K30/K8)</f>
        <v>0.56928894490991322</v>
      </c>
      <c r="L31" s="283">
        <f t="shared" si="17"/>
        <v>0.65528474903474898</v>
      </c>
      <c r="M31" s="284">
        <f t="shared" si="17"/>
        <v>0.64627363737486099</v>
      </c>
      <c r="N31" s="285">
        <f t="shared" si="17"/>
        <v>0.56314243759177685</v>
      </c>
      <c r="O31" s="133"/>
      <c r="P31" s="286" t="s">
        <v>164</v>
      </c>
      <c r="Q31" s="287" t="s">
        <v>165</v>
      </c>
      <c r="R31" s="287" t="s">
        <v>24</v>
      </c>
      <c r="S31" s="287" t="s">
        <v>165</v>
      </c>
      <c r="T31" s="288" t="s">
        <v>166</v>
      </c>
      <c r="U31" s="140"/>
      <c r="V31" s="133"/>
      <c r="W31" s="152"/>
      <c r="X31" s="133"/>
      <c r="Y31" s="133"/>
      <c r="Z31" s="133"/>
      <c r="AA31" s="133"/>
      <c r="AB31" s="133"/>
      <c r="AC31" s="133"/>
      <c r="AD31" s="133"/>
      <c r="AE31" s="148"/>
    </row>
    <row r="32" spans="1:31">
      <c r="A32" s="258" t="s">
        <v>167</v>
      </c>
      <c r="B32" s="289"/>
      <c r="C32" s="289"/>
      <c r="D32" s="215">
        <v>22101</v>
      </c>
      <c r="E32" s="244">
        <v>24520</v>
      </c>
      <c r="F32" s="133"/>
      <c r="G32" s="152"/>
      <c r="H32" s="133"/>
      <c r="I32" s="133"/>
      <c r="J32" s="133"/>
      <c r="K32" s="290"/>
      <c r="L32" s="291"/>
      <c r="M32" s="292"/>
      <c r="N32" s="293"/>
      <c r="O32" s="133"/>
      <c r="P32" s="43" t="s">
        <v>168</v>
      </c>
      <c r="Q32" s="294">
        <v>2</v>
      </c>
      <c r="R32" s="295">
        <v>3.79</v>
      </c>
      <c r="S32" s="296">
        <f>+IF(R32&lt;$T$5,Q32,0)</f>
        <v>2</v>
      </c>
      <c r="T32" s="297">
        <f>IF(S32="NA","NA",S32*R32)</f>
        <v>7.58</v>
      </c>
      <c r="U32" s="140"/>
      <c r="V32" s="133"/>
      <c r="W32" s="152"/>
      <c r="X32" s="133"/>
      <c r="Y32" s="133"/>
      <c r="Z32" s="133"/>
      <c r="AA32" s="133"/>
      <c r="AB32" s="133"/>
      <c r="AC32" s="133"/>
      <c r="AD32" s="133"/>
      <c r="AE32" s="148"/>
    </row>
    <row r="33" spans="1:31">
      <c r="A33" s="227" t="s">
        <v>169</v>
      </c>
      <c r="B33" s="289"/>
      <c r="C33" s="289"/>
      <c r="D33" s="251">
        <f>D28+SUM(D30:D32)</f>
        <v>41182</v>
      </c>
      <c r="E33" s="252">
        <f>E28+SUM(E30:E32)</f>
        <v>44460</v>
      </c>
      <c r="F33" s="133"/>
      <c r="G33" s="152" t="s">
        <v>170</v>
      </c>
      <c r="H33" s="133"/>
      <c r="I33" s="266">
        <f t="shared" ref="I33:N33" si="18">I12</f>
        <v>4532</v>
      </c>
      <c r="J33" s="266">
        <f t="shared" si="18"/>
        <v>10041</v>
      </c>
      <c r="K33" s="266">
        <f t="shared" si="18"/>
        <v>4224</v>
      </c>
      <c r="L33" s="267">
        <f t="shared" si="18"/>
        <v>1868</v>
      </c>
      <c r="M33" s="268">
        <f t="shared" si="18"/>
        <v>2140</v>
      </c>
      <c r="N33" s="269">
        <f t="shared" si="18"/>
        <v>4496</v>
      </c>
      <c r="O33" s="133"/>
      <c r="P33" s="43" t="s">
        <v>171</v>
      </c>
      <c r="Q33" s="294">
        <v>0</v>
      </c>
      <c r="R33" s="298">
        <v>0</v>
      </c>
      <c r="S33" s="296">
        <f>+IF(R33&lt;$T$5,Q33,0)</f>
        <v>0</v>
      </c>
      <c r="T33" s="299">
        <f>IF(S33="NA","NA",S33*R33)</f>
        <v>0</v>
      </c>
      <c r="U33" s="140"/>
      <c r="V33" s="133"/>
      <c r="W33" s="152"/>
      <c r="X33" s="133"/>
      <c r="Y33" s="133"/>
      <c r="Z33" s="133"/>
      <c r="AA33" s="133"/>
      <c r="AB33" s="133"/>
      <c r="AC33" s="133"/>
      <c r="AD33" s="133"/>
      <c r="AE33" s="148"/>
    </row>
    <row r="34" spans="1:31">
      <c r="A34" s="204"/>
      <c r="B34" s="205"/>
      <c r="C34" s="205"/>
      <c r="D34" s="205"/>
      <c r="E34" s="231"/>
      <c r="F34" s="151"/>
      <c r="G34" s="152" t="s">
        <v>172</v>
      </c>
      <c r="H34" s="133"/>
      <c r="I34" s="208">
        <v>0</v>
      </c>
      <c r="J34" s="208">
        <v>0</v>
      </c>
      <c r="K34" s="208">
        <v>0</v>
      </c>
      <c r="L34" s="209">
        <v>0</v>
      </c>
      <c r="M34" s="210">
        <v>0</v>
      </c>
      <c r="N34" s="225">
        <f t="shared" ref="N34" si="19">N29</f>
        <v>0</v>
      </c>
      <c r="O34" s="133"/>
      <c r="P34" s="43" t="s">
        <v>173</v>
      </c>
      <c r="Q34" s="294">
        <v>0</v>
      </c>
      <c r="R34" s="298">
        <v>0</v>
      </c>
      <c r="S34" s="296">
        <f>+IF(R34&lt;$T$5,Q34,0)</f>
        <v>0</v>
      </c>
      <c r="T34" s="300">
        <f>IF(S34="NA","NA",S34*R34)</f>
        <v>0</v>
      </c>
      <c r="U34" s="140"/>
      <c r="V34" s="133"/>
      <c r="W34" s="152"/>
      <c r="X34" s="133"/>
      <c r="Y34" s="133"/>
      <c r="Z34" s="133"/>
      <c r="AA34" s="133"/>
      <c r="AB34" s="133"/>
      <c r="AC34" s="133"/>
      <c r="AD34" s="133"/>
      <c r="AE34" s="148"/>
    </row>
    <row r="35" spans="1:31">
      <c r="A35" s="301" t="s">
        <v>174</v>
      </c>
      <c r="B35" s="302"/>
      <c r="C35" s="302"/>
      <c r="D35" s="303">
        <f>D23-D33</f>
        <v>0</v>
      </c>
      <c r="E35" s="304">
        <f>E23-E33</f>
        <v>0</v>
      </c>
      <c r="F35" s="133"/>
      <c r="G35" s="152" t="s">
        <v>175</v>
      </c>
      <c r="H35" s="133"/>
      <c r="I35" s="208">
        <v>0</v>
      </c>
      <c r="J35" s="208"/>
      <c r="K35" s="208">
        <v>0</v>
      </c>
      <c r="L35" s="209">
        <v>0</v>
      </c>
      <c r="M35" s="210">
        <v>0</v>
      </c>
      <c r="N35" s="225">
        <f>K35+M35-L35</f>
        <v>0</v>
      </c>
      <c r="O35" s="272"/>
      <c r="P35" s="43" t="s">
        <v>176</v>
      </c>
      <c r="Q35" s="294">
        <v>0</v>
      </c>
      <c r="R35" s="298">
        <v>0</v>
      </c>
      <c r="S35" s="296">
        <f>+IF(R35&lt;$T$5,Q35,0)</f>
        <v>0</v>
      </c>
      <c r="T35" s="300">
        <f>IF(S35="NA","NA",S35*R35)</f>
        <v>0</v>
      </c>
      <c r="U35" s="140"/>
      <c r="V35" s="133"/>
      <c r="W35" s="152"/>
      <c r="X35" s="133"/>
      <c r="Y35" s="133"/>
      <c r="Z35" s="133"/>
      <c r="AA35" s="133"/>
      <c r="AB35" s="133"/>
      <c r="AC35" s="133"/>
      <c r="AD35" s="133"/>
      <c r="AE35" s="148"/>
    </row>
    <row r="36" spans="1:31">
      <c r="A36" s="133"/>
      <c r="B36" s="133"/>
      <c r="C36" s="133"/>
      <c r="D36" s="133"/>
      <c r="E36" s="133"/>
      <c r="F36" s="151"/>
      <c r="G36" s="152" t="s">
        <v>177</v>
      </c>
      <c r="H36" s="133"/>
      <c r="I36" s="208">
        <v>0</v>
      </c>
      <c r="J36" s="208">
        <v>0</v>
      </c>
      <c r="K36" s="208">
        <v>0</v>
      </c>
      <c r="L36" s="209">
        <v>0</v>
      </c>
      <c r="M36" s="210">
        <v>0</v>
      </c>
      <c r="N36" s="305">
        <f>K36+M36-L36</f>
        <v>0</v>
      </c>
      <c r="O36" s="306"/>
      <c r="P36" s="43" t="s">
        <v>178</v>
      </c>
      <c r="Q36" s="307">
        <v>0</v>
      </c>
      <c r="R36" s="308">
        <v>0</v>
      </c>
      <c r="S36" s="309">
        <f>+IF(R36&lt;$T$5,Q36,0)</f>
        <v>0</v>
      </c>
      <c r="T36" s="310">
        <f>IF(S36="NA","NA",S36*R36)</f>
        <v>0</v>
      </c>
      <c r="U36" s="140"/>
      <c r="V36" s="133"/>
      <c r="W36" s="152"/>
      <c r="X36" s="133"/>
      <c r="Y36" s="133"/>
      <c r="Z36" s="133"/>
      <c r="AA36" s="133"/>
      <c r="AB36" s="133"/>
      <c r="AC36" s="133"/>
      <c r="AD36" s="133"/>
      <c r="AE36" s="148"/>
    </row>
    <row r="37" spans="1:31">
      <c r="A37" s="137" t="s">
        <v>179</v>
      </c>
      <c r="B37" s="138"/>
      <c r="C37" s="138"/>
      <c r="D37" s="138"/>
      <c r="E37" s="139"/>
      <c r="F37" s="133"/>
      <c r="G37" s="152" t="s">
        <v>180</v>
      </c>
      <c r="H37" s="133"/>
      <c r="I37" s="311">
        <f t="shared" ref="I37:N37" si="20">+I72</f>
        <v>1397</v>
      </c>
      <c r="J37" s="311">
        <f t="shared" si="20"/>
        <v>2004</v>
      </c>
      <c r="K37" s="311">
        <f t="shared" si="20"/>
        <v>2709</v>
      </c>
      <c r="L37" s="312">
        <f t="shared" si="20"/>
        <v>578</v>
      </c>
      <c r="M37" s="313">
        <f t="shared" si="20"/>
        <v>735</v>
      </c>
      <c r="N37" s="314">
        <f t="shared" si="20"/>
        <v>2866</v>
      </c>
      <c r="O37" s="147"/>
      <c r="P37" s="315" t="s">
        <v>181</v>
      </c>
      <c r="Q37" s="316">
        <f>SUM(Q32:Q36)</f>
        <v>2</v>
      </c>
      <c r="R37" s="317"/>
      <c r="S37" s="316">
        <f>SUM(S32:S36)</f>
        <v>2</v>
      </c>
      <c r="T37" s="195">
        <f>SUM(T32:T36)</f>
        <v>7.58</v>
      </c>
      <c r="U37" s="133"/>
      <c r="V37" s="133"/>
      <c r="W37" s="152"/>
      <c r="X37" s="133"/>
      <c r="Y37" s="133"/>
      <c r="Z37" s="133"/>
      <c r="AA37" s="133"/>
      <c r="AB37" s="133"/>
      <c r="AC37" s="133"/>
      <c r="AD37" s="133"/>
      <c r="AE37" s="148"/>
    </row>
    <row r="38" spans="1:31">
      <c r="A38" s="318" t="s">
        <v>182</v>
      </c>
      <c r="B38" s="205"/>
      <c r="C38" s="133"/>
      <c r="D38" s="133"/>
      <c r="E38" s="319">
        <f>EOMONTH(E8,12)</f>
        <v>45322</v>
      </c>
      <c r="F38" s="320"/>
      <c r="G38" s="152" t="s">
        <v>183</v>
      </c>
      <c r="H38" s="133"/>
      <c r="I38" s="215">
        <v>0</v>
      </c>
      <c r="J38" s="215">
        <v>0</v>
      </c>
      <c r="K38" s="215">
        <v>0</v>
      </c>
      <c r="L38" s="216">
        <v>0</v>
      </c>
      <c r="M38" s="217">
        <v>0</v>
      </c>
      <c r="N38" s="321">
        <f>K38+M38-L38</f>
        <v>0</v>
      </c>
      <c r="O38" s="147"/>
      <c r="P38" s="273" t="s">
        <v>184</v>
      </c>
      <c r="Q38" s="274"/>
      <c r="R38" s="274"/>
      <c r="S38" s="274"/>
      <c r="T38" s="275"/>
      <c r="U38" s="133"/>
      <c r="V38" s="133"/>
      <c r="W38" s="152"/>
      <c r="X38" s="133"/>
      <c r="Y38" s="133"/>
      <c r="Z38" s="133"/>
      <c r="AA38" s="133"/>
      <c r="AB38" s="133"/>
      <c r="AC38" s="133"/>
      <c r="AD38" s="133"/>
      <c r="AE38" s="148"/>
    </row>
    <row r="39" spans="1:31">
      <c r="A39" s="318" t="s">
        <v>185</v>
      </c>
      <c r="B39" s="133"/>
      <c r="C39" s="290" t="s">
        <v>186</v>
      </c>
      <c r="D39" s="322" t="s">
        <v>187</v>
      </c>
      <c r="E39" s="241">
        <v>42273</v>
      </c>
      <c r="F39" s="133"/>
      <c r="G39" s="182" t="s">
        <v>188</v>
      </c>
      <c r="H39" s="133"/>
      <c r="I39" s="183">
        <f>SUM(I33:I38)+I29</f>
        <v>5929</v>
      </c>
      <c r="J39" s="183">
        <f t="shared" ref="J39:N39" si="21">SUM(J33:J38)+J29</f>
        <v>12045</v>
      </c>
      <c r="K39" s="183">
        <f t="shared" si="21"/>
        <v>6933</v>
      </c>
      <c r="L39" s="184">
        <f t="shared" si="21"/>
        <v>2446</v>
      </c>
      <c r="M39" s="185">
        <f t="shared" si="21"/>
        <v>2875</v>
      </c>
      <c r="N39" s="173">
        <f t="shared" si="21"/>
        <v>7362</v>
      </c>
      <c r="O39" s="147"/>
      <c r="P39" s="323"/>
      <c r="Q39" s="32"/>
      <c r="R39" s="324" t="s">
        <v>189</v>
      </c>
      <c r="S39" s="324" t="s">
        <v>190</v>
      </c>
      <c r="T39" s="325" t="s">
        <v>191</v>
      </c>
      <c r="U39" s="133"/>
      <c r="V39" s="133"/>
      <c r="W39" s="152"/>
      <c r="X39" s="133"/>
      <c r="Y39" s="133"/>
      <c r="Z39" s="133"/>
      <c r="AA39" s="133"/>
      <c r="AB39" s="133"/>
      <c r="AC39" s="133"/>
      <c r="AD39" s="133"/>
      <c r="AE39" s="148"/>
    </row>
    <row r="40" spans="1:31">
      <c r="A40" s="318" t="s">
        <v>192</v>
      </c>
      <c r="B40" s="133"/>
      <c r="C40" s="133"/>
      <c r="D40" s="326" t="s">
        <v>193</v>
      </c>
      <c r="E40" s="241">
        <f>Z12</f>
        <v>7069.5459914064631</v>
      </c>
      <c r="F40" s="133"/>
      <c r="G40" s="281" t="s">
        <v>163</v>
      </c>
      <c r="H40" s="157"/>
      <c r="I40" s="282">
        <f t="shared" ref="I40:N40" si="22">IF(ISERROR(I39/I8),"NA",I39/I8)</f>
        <v>0.35556221889055473</v>
      </c>
      <c r="J40" s="282">
        <f t="shared" si="22"/>
        <v>0.4475365980530579</v>
      </c>
      <c r="K40" s="282">
        <f t="shared" si="22"/>
        <v>0.25702528360643584</v>
      </c>
      <c r="L40" s="283">
        <f t="shared" si="22"/>
        <v>0.2951254826254826</v>
      </c>
      <c r="M40" s="284">
        <f t="shared" si="22"/>
        <v>0.39974972191323693</v>
      </c>
      <c r="N40" s="285">
        <f t="shared" si="22"/>
        <v>0.28448875492696502</v>
      </c>
      <c r="O40" s="147"/>
      <c r="P40" s="323"/>
      <c r="Q40" s="287" t="s">
        <v>194</v>
      </c>
      <c r="R40" s="327" t="s">
        <v>24</v>
      </c>
      <c r="S40" s="327" t="s">
        <v>195</v>
      </c>
      <c r="T40" s="328" t="s">
        <v>165</v>
      </c>
      <c r="U40" s="133"/>
      <c r="V40" s="133"/>
      <c r="W40" s="152"/>
      <c r="X40" s="133"/>
      <c r="Y40" s="133"/>
      <c r="Z40" s="133"/>
      <c r="AA40" s="133"/>
      <c r="AB40" s="133"/>
      <c r="AC40" s="133"/>
      <c r="AD40" s="133"/>
      <c r="AE40" s="148"/>
    </row>
    <row r="41" spans="1:31">
      <c r="A41" s="318" t="s">
        <v>196</v>
      </c>
      <c r="B41" s="133"/>
      <c r="C41" s="133"/>
      <c r="D41" s="322"/>
      <c r="E41" s="241">
        <f>Z13</f>
        <v>5525.5459914064631</v>
      </c>
      <c r="F41" s="133"/>
      <c r="G41" s="152"/>
      <c r="H41" s="133"/>
      <c r="I41" s="133"/>
      <c r="J41" s="133"/>
      <c r="K41" s="290"/>
      <c r="L41" s="291"/>
      <c r="M41" s="292"/>
      <c r="N41" s="293"/>
      <c r="O41" s="147"/>
      <c r="P41" s="323" t="s">
        <v>197</v>
      </c>
      <c r="Q41" s="294">
        <v>0</v>
      </c>
      <c r="R41" s="295">
        <v>0</v>
      </c>
      <c r="S41" s="329">
        <f>IF(ISERROR(1000/R41),0,(1000/R41))</f>
        <v>0</v>
      </c>
      <c r="T41" s="300">
        <f>+IF(R41&lt;$T$5,IF(ISERROR(Q41/R41),0,Q41/R41),0)</f>
        <v>0</v>
      </c>
      <c r="U41" s="133"/>
      <c r="V41" s="133"/>
      <c r="W41" s="152"/>
      <c r="X41" s="133"/>
      <c r="Y41" s="133"/>
      <c r="Z41" s="133"/>
      <c r="AA41" s="133"/>
      <c r="AB41" s="133"/>
      <c r="AC41" s="133"/>
      <c r="AD41" s="133"/>
      <c r="AE41" s="148"/>
    </row>
    <row r="42" spans="1:31">
      <c r="A42" s="318" t="s">
        <v>198</v>
      </c>
      <c r="B42" s="133"/>
      <c r="C42" s="133"/>
      <c r="D42" s="326"/>
      <c r="E42" s="330">
        <v>6.26</v>
      </c>
      <c r="F42" s="133"/>
      <c r="G42" s="152" t="s">
        <v>199</v>
      </c>
      <c r="H42" s="133"/>
      <c r="I42" s="311">
        <f t="shared" ref="I42:N42" si="23">+I70</f>
        <v>1098</v>
      </c>
      <c r="J42" s="311">
        <f t="shared" si="23"/>
        <v>1174</v>
      </c>
      <c r="K42" s="311">
        <f t="shared" si="23"/>
        <v>1544</v>
      </c>
      <c r="L42" s="312">
        <f t="shared" si="23"/>
        <v>334</v>
      </c>
      <c r="M42" s="313">
        <f t="shared" si="23"/>
        <v>384</v>
      </c>
      <c r="N42" s="314">
        <f t="shared" si="23"/>
        <v>1594</v>
      </c>
      <c r="O42" s="133"/>
      <c r="P42" s="323" t="s">
        <v>200</v>
      </c>
      <c r="Q42" s="294">
        <v>0</v>
      </c>
      <c r="R42" s="298">
        <v>0</v>
      </c>
      <c r="S42" s="329">
        <f>IF(ISERROR(1000/R42),0,(1000/R42))</f>
        <v>0</v>
      </c>
      <c r="T42" s="300">
        <f>+IF(R42&lt;$T$5,IF(ISERROR(Q42/R42),0,Q42/R42),0)</f>
        <v>0</v>
      </c>
      <c r="U42" s="133"/>
      <c r="V42" s="133"/>
      <c r="W42" s="152"/>
      <c r="X42" s="133"/>
      <c r="Y42" s="133"/>
      <c r="Z42" s="133"/>
      <c r="AA42" s="133"/>
      <c r="AB42" s="133"/>
      <c r="AC42" s="133"/>
      <c r="AD42" s="133"/>
      <c r="AE42" s="148"/>
    </row>
    <row r="43" spans="1:31">
      <c r="A43" s="144"/>
      <c r="B43" s="133"/>
      <c r="C43" s="133"/>
      <c r="D43" s="133"/>
      <c r="E43" s="201"/>
      <c r="F43" s="133"/>
      <c r="G43" s="152" t="s">
        <v>201</v>
      </c>
      <c r="H43" s="133"/>
      <c r="I43" s="215">
        <v>0</v>
      </c>
      <c r="J43" s="215">
        <v>0</v>
      </c>
      <c r="K43" s="215">
        <v>0</v>
      </c>
      <c r="L43" s="216">
        <v>0</v>
      </c>
      <c r="M43" s="217">
        <v>0</v>
      </c>
      <c r="N43" s="331">
        <f>K43+M43-L43</f>
        <v>0</v>
      </c>
      <c r="O43" s="133"/>
      <c r="P43" s="323" t="s">
        <v>202</v>
      </c>
      <c r="Q43" s="294">
        <v>0</v>
      </c>
      <c r="R43" s="298">
        <v>0</v>
      </c>
      <c r="S43" s="329">
        <f>IF(ISERROR(1000/R43),0,(1000/R43))</f>
        <v>0</v>
      </c>
      <c r="T43" s="300">
        <f>+IF(R43&lt;$T$5,IF(ISERROR(Q43/R43),0,Q43/R43),0)</f>
        <v>0</v>
      </c>
      <c r="U43" s="133"/>
      <c r="V43" s="133"/>
      <c r="W43" s="152"/>
      <c r="X43" s="133"/>
      <c r="Y43" s="133"/>
      <c r="Z43" s="133"/>
      <c r="AA43" s="133"/>
      <c r="AB43" s="133"/>
      <c r="AC43" s="133"/>
      <c r="AD43" s="133"/>
      <c r="AE43" s="148"/>
    </row>
    <row r="44" spans="1:31">
      <c r="A44" s="318" t="s">
        <v>182</v>
      </c>
      <c r="B44" s="133"/>
      <c r="C44" s="133"/>
      <c r="D44" s="133"/>
      <c r="E44" s="319">
        <f>EOMONTH(E38,12)</f>
        <v>45688</v>
      </c>
      <c r="F44" s="133"/>
      <c r="G44" s="182" t="s">
        <v>203</v>
      </c>
      <c r="H44" s="133"/>
      <c r="I44" s="183">
        <f t="shared" ref="I44:N44" si="24">+I39+SUM(I42:I43)</f>
        <v>7027</v>
      </c>
      <c r="J44" s="183">
        <f t="shared" si="24"/>
        <v>13219</v>
      </c>
      <c r="K44" s="183">
        <f t="shared" si="24"/>
        <v>8477</v>
      </c>
      <c r="L44" s="184">
        <f t="shared" si="24"/>
        <v>2780</v>
      </c>
      <c r="M44" s="185">
        <f t="shared" si="24"/>
        <v>3259</v>
      </c>
      <c r="N44" s="173">
        <f t="shared" si="24"/>
        <v>8956</v>
      </c>
      <c r="O44" s="133"/>
      <c r="P44" s="332" t="s">
        <v>181</v>
      </c>
      <c r="Q44" s="333"/>
      <c r="R44" s="334"/>
      <c r="S44" s="333"/>
      <c r="T44" s="335">
        <f>SUM(T41:T43)</f>
        <v>0</v>
      </c>
      <c r="U44" s="133"/>
      <c r="V44" s="133"/>
      <c r="W44" s="152"/>
      <c r="X44" s="133"/>
      <c r="Y44" s="133"/>
      <c r="Z44" s="133"/>
      <c r="AA44" s="133"/>
      <c r="AB44" s="133"/>
      <c r="AC44" s="133"/>
      <c r="AD44" s="133"/>
      <c r="AE44" s="148"/>
    </row>
    <row r="45" spans="1:31">
      <c r="A45" s="318" t="s">
        <v>204</v>
      </c>
      <c r="B45" s="133"/>
      <c r="C45" s="290" t="s">
        <v>186</v>
      </c>
      <c r="D45" s="322" t="s">
        <v>187</v>
      </c>
      <c r="E45" s="241">
        <v>66396</v>
      </c>
      <c r="F45" s="133"/>
      <c r="G45" s="281" t="s">
        <v>163</v>
      </c>
      <c r="H45" s="157"/>
      <c r="I45" s="282">
        <f t="shared" ref="I45:N45" si="25">IF(ISERROR(I44/I8),"NA",I44/I8)</f>
        <v>0.42140929535232385</v>
      </c>
      <c r="J45" s="282">
        <f t="shared" si="25"/>
        <v>0.49115701865200267</v>
      </c>
      <c r="K45" s="282">
        <f t="shared" si="25"/>
        <v>0.31426558908578633</v>
      </c>
      <c r="L45" s="283">
        <f t="shared" si="25"/>
        <v>0.33542471042471045</v>
      </c>
      <c r="M45" s="284">
        <f t="shared" si="25"/>
        <v>0.45314238042269189</v>
      </c>
      <c r="N45" s="285">
        <f t="shared" si="25"/>
        <v>0.34608547801221112</v>
      </c>
      <c r="O45" s="133"/>
      <c r="P45" s="336"/>
      <c r="Q45" s="337"/>
      <c r="R45" s="338"/>
      <c r="S45" s="329"/>
      <c r="T45" s="329"/>
      <c r="U45" s="133"/>
      <c r="V45" s="133"/>
      <c r="W45" s="152"/>
      <c r="X45" s="133"/>
      <c r="Y45" s="133"/>
      <c r="Z45" s="133"/>
      <c r="AA45" s="133"/>
      <c r="AB45" s="133"/>
      <c r="AC45" s="133"/>
      <c r="AD45" s="133"/>
      <c r="AE45" s="148"/>
    </row>
    <row r="46" spans="1:31">
      <c r="A46" s="318" t="s">
        <v>205</v>
      </c>
      <c r="B46" s="133"/>
      <c r="C46" s="133"/>
      <c r="D46" s="326" t="s">
        <v>193</v>
      </c>
      <c r="E46" s="241">
        <f>AA12</f>
        <v>8772.1388501770998</v>
      </c>
      <c r="F46" s="133"/>
      <c r="G46" s="152"/>
      <c r="H46" s="133"/>
      <c r="I46" s="133"/>
      <c r="J46" s="133"/>
      <c r="K46" s="339"/>
      <c r="L46" s="133"/>
      <c r="M46" s="339"/>
      <c r="N46" s="148"/>
      <c r="O46" s="133"/>
      <c r="P46" s="137" t="s">
        <v>206</v>
      </c>
      <c r="Q46" s="138"/>
      <c r="R46" s="138"/>
      <c r="S46" s="138"/>
      <c r="T46" s="139"/>
      <c r="U46" s="133"/>
      <c r="V46" s="133"/>
      <c r="W46" s="152"/>
      <c r="X46" s="133"/>
      <c r="Y46" s="133"/>
      <c r="Z46" s="133"/>
      <c r="AA46" s="133"/>
      <c r="AB46" s="133"/>
      <c r="AC46" s="133"/>
      <c r="AD46" s="133"/>
      <c r="AE46" s="148"/>
    </row>
    <row r="47" spans="1:31">
      <c r="A47" s="318" t="s">
        <v>207</v>
      </c>
      <c r="B47" s="133"/>
      <c r="C47" s="133"/>
      <c r="D47" s="322"/>
      <c r="E47" s="241">
        <f>AA13</f>
        <v>7228.1388501770998</v>
      </c>
      <c r="F47" s="133"/>
      <c r="G47" s="152" t="s">
        <v>208</v>
      </c>
      <c r="H47" s="133"/>
      <c r="I47" s="266">
        <f t="shared" ref="I47:N47" si="26">I19</f>
        <v>4332</v>
      </c>
      <c r="J47" s="266">
        <f t="shared" si="26"/>
        <v>9752</v>
      </c>
      <c r="K47" s="266">
        <f t="shared" si="26"/>
        <v>4368</v>
      </c>
      <c r="L47" s="267">
        <f t="shared" si="26"/>
        <v>1618</v>
      </c>
      <c r="M47" s="268">
        <f t="shared" si="26"/>
        <v>2043</v>
      </c>
      <c r="N47" s="269">
        <f t="shared" si="26"/>
        <v>4793</v>
      </c>
      <c r="O47" s="133"/>
      <c r="P47" s="144"/>
      <c r="Q47" s="133"/>
      <c r="R47" s="32" t="str">
        <f>N6</f>
        <v>LTM</v>
      </c>
      <c r="S47" s="32" t="s">
        <v>209</v>
      </c>
      <c r="T47" s="279" t="s">
        <v>210</v>
      </c>
      <c r="U47" s="140"/>
      <c r="V47" s="133"/>
      <c r="W47" s="152"/>
      <c r="X47" s="133"/>
      <c r="Y47" s="133"/>
      <c r="Z47" s="133"/>
      <c r="AA47" s="133"/>
      <c r="AB47" s="133"/>
      <c r="AC47" s="133"/>
      <c r="AD47" s="133"/>
      <c r="AE47" s="148"/>
    </row>
    <row r="48" spans="1:31">
      <c r="A48" s="318" t="s">
        <v>211</v>
      </c>
      <c r="B48" s="133"/>
      <c r="C48" s="133"/>
      <c r="D48" s="326"/>
      <c r="E48" s="330">
        <v>9.92</v>
      </c>
      <c r="F48" s="133"/>
      <c r="G48" s="152" t="s">
        <v>156</v>
      </c>
      <c r="H48" s="133"/>
      <c r="I48" s="340">
        <f t="shared" ref="I48:N48" si="27">I29</f>
        <v>0</v>
      </c>
      <c r="J48" s="340">
        <f t="shared" si="27"/>
        <v>0</v>
      </c>
      <c r="K48" s="340">
        <f t="shared" si="27"/>
        <v>0</v>
      </c>
      <c r="L48" s="341">
        <f t="shared" si="27"/>
        <v>0</v>
      </c>
      <c r="M48" s="342">
        <f t="shared" si="27"/>
        <v>0</v>
      </c>
      <c r="N48" s="305">
        <f t="shared" si="27"/>
        <v>0</v>
      </c>
      <c r="O48" s="133"/>
      <c r="P48" s="144"/>
      <c r="Q48" s="133"/>
      <c r="R48" s="287">
        <f>N7</f>
        <v>45046</v>
      </c>
      <c r="S48" s="343">
        <f>+D68</f>
        <v>45291</v>
      </c>
      <c r="T48" s="344">
        <f>S48+365</f>
        <v>45656</v>
      </c>
      <c r="U48" s="140"/>
      <c r="V48" s="133"/>
      <c r="W48" s="152"/>
      <c r="X48" s="133"/>
      <c r="Y48" s="133"/>
      <c r="Z48" s="133"/>
      <c r="AA48" s="133"/>
      <c r="AB48" s="133"/>
      <c r="AC48" s="133"/>
      <c r="AD48" s="133"/>
      <c r="AE48" s="148"/>
    </row>
    <row r="49" spans="1:31">
      <c r="A49" s="144"/>
      <c r="B49" s="133"/>
      <c r="C49" s="133"/>
      <c r="D49" s="133"/>
      <c r="E49" s="201"/>
      <c r="F49" s="133"/>
      <c r="G49" s="152" t="s">
        <v>212</v>
      </c>
      <c r="H49" s="133"/>
      <c r="I49" s="296">
        <f>+SUM(I34:I38)</f>
        <v>1397</v>
      </c>
      <c r="J49" s="296">
        <f t="shared" ref="J49:N49" si="28">+SUM(J34:J38)</f>
        <v>2004</v>
      </c>
      <c r="K49" s="345">
        <f t="shared" si="28"/>
        <v>2709</v>
      </c>
      <c r="L49" s="296">
        <f t="shared" si="28"/>
        <v>578</v>
      </c>
      <c r="M49" s="345">
        <f t="shared" si="28"/>
        <v>735</v>
      </c>
      <c r="N49" s="346">
        <f t="shared" si="28"/>
        <v>2866</v>
      </c>
      <c r="O49" s="133"/>
      <c r="P49" s="144" t="s">
        <v>213</v>
      </c>
      <c r="Q49" s="133"/>
      <c r="R49" s="347">
        <f>IF(ISERROR(T17/N8),"NA",T17/N8)</f>
        <v>45.017296931756711</v>
      </c>
      <c r="S49" s="347">
        <f t="shared" ref="S49:T51" si="29">IF(ISERROR($T$17/D69),"NA",$T$17/D69)</f>
        <v>28.43188480516973</v>
      </c>
      <c r="T49" s="348">
        <f t="shared" si="29"/>
        <v>18.104247886476475</v>
      </c>
      <c r="U49" s="140"/>
      <c r="V49" s="133"/>
      <c r="W49" s="152"/>
      <c r="X49" s="133"/>
      <c r="Y49" s="133"/>
      <c r="Z49" s="133"/>
      <c r="AA49" s="133"/>
      <c r="AB49" s="133"/>
      <c r="AC49" s="133"/>
      <c r="AD49" s="133"/>
      <c r="AE49" s="148"/>
    </row>
    <row r="50" spans="1:31">
      <c r="A50" s="318" t="s">
        <v>182</v>
      </c>
      <c r="B50" s="133"/>
      <c r="C50" s="133"/>
      <c r="D50" s="133"/>
      <c r="E50" s="319">
        <f>EOMONTH(E44,12)</f>
        <v>46053</v>
      </c>
      <c r="F50" s="133"/>
      <c r="G50" s="152" t="s">
        <v>214</v>
      </c>
      <c r="H50" s="133"/>
      <c r="I50" s="208">
        <v>0</v>
      </c>
      <c r="J50" s="208">
        <v>0</v>
      </c>
      <c r="K50" s="208">
        <v>0</v>
      </c>
      <c r="L50" s="209">
        <v>0</v>
      </c>
      <c r="M50" s="210">
        <v>0</v>
      </c>
      <c r="N50" s="346">
        <f t="shared" ref="N50" si="30">+N43</f>
        <v>0</v>
      </c>
      <c r="O50" s="306"/>
      <c r="P50" s="144" t="s">
        <v>69</v>
      </c>
      <c r="Q50" s="133"/>
      <c r="R50" s="347">
        <f>IF(ISERROR($T$17/N44),"NA",T17/N44)</f>
        <v>130.07565989280931</v>
      </c>
      <c r="S50" s="347">
        <f t="shared" si="29"/>
        <v>162.04536526300208</v>
      </c>
      <c r="T50" s="348">
        <f t="shared" si="29"/>
        <v>135.02786139091884</v>
      </c>
      <c r="U50" s="140"/>
      <c r="V50" s="133"/>
      <c r="W50" s="152"/>
      <c r="X50" s="133"/>
      <c r="Y50" s="133"/>
      <c r="Z50" s="133"/>
      <c r="AA50" s="133"/>
      <c r="AB50" s="133"/>
      <c r="AC50" s="133"/>
      <c r="AD50" s="133"/>
      <c r="AE50" s="148"/>
    </row>
    <row r="51" spans="1:31">
      <c r="A51" s="318" t="s">
        <v>215</v>
      </c>
      <c r="B51" s="133"/>
      <c r="C51" s="290" t="s">
        <v>186</v>
      </c>
      <c r="D51" s="322" t="s">
        <v>187</v>
      </c>
      <c r="E51" s="241">
        <v>104286</v>
      </c>
      <c r="F51" s="133"/>
      <c r="G51" s="152" t="s">
        <v>216</v>
      </c>
      <c r="H51" s="133"/>
      <c r="I51" s="296">
        <f t="shared" ref="I51:N51" si="31">-(SUM(I48:I50)*($E$10))</f>
        <v>-293.37</v>
      </c>
      <c r="J51" s="296">
        <f t="shared" si="31"/>
        <v>-420.84</v>
      </c>
      <c r="K51" s="345">
        <f t="shared" si="31"/>
        <v>-568.89</v>
      </c>
      <c r="L51" s="296">
        <f t="shared" si="31"/>
        <v>-121.38</v>
      </c>
      <c r="M51" s="345">
        <f t="shared" si="31"/>
        <v>-154.35</v>
      </c>
      <c r="N51" s="346">
        <f t="shared" si="31"/>
        <v>-601.86</v>
      </c>
      <c r="O51" s="133"/>
      <c r="P51" s="144" t="s">
        <v>70</v>
      </c>
      <c r="Q51" s="133"/>
      <c r="R51" s="347">
        <f>IF(ISERROR($T$17/N39),"NA",T17/N39)</f>
        <v>158.23928416191254</v>
      </c>
      <c r="S51" s="347">
        <f t="shared" si="29"/>
        <v>206.36677487487785</v>
      </c>
      <c r="T51" s="348">
        <f t="shared" si="29"/>
        <v>164.45991979610605</v>
      </c>
      <c r="U51" s="140"/>
      <c r="V51" s="133"/>
      <c r="W51" s="152"/>
      <c r="X51" s="133"/>
      <c r="Y51" s="133"/>
      <c r="Z51" s="133"/>
      <c r="AA51" s="133"/>
      <c r="AB51" s="133"/>
      <c r="AC51" s="133"/>
      <c r="AD51" s="133"/>
      <c r="AE51" s="148"/>
    </row>
    <row r="52" spans="1:31" ht="15.75" thickBot="1">
      <c r="A52" s="318" t="s">
        <v>217</v>
      </c>
      <c r="B52" s="133"/>
      <c r="C52" s="133"/>
      <c r="D52" s="326" t="s">
        <v>193</v>
      </c>
      <c r="E52" s="241">
        <f>AB12</f>
        <v>10999.353610067566</v>
      </c>
      <c r="F52" s="133"/>
      <c r="G52" s="182" t="s">
        <v>218</v>
      </c>
      <c r="H52" s="133"/>
      <c r="I52" s="232">
        <f t="shared" ref="I52:N52" si="32">SUM(I47:I51)</f>
        <v>5435.63</v>
      </c>
      <c r="J52" s="232">
        <f t="shared" si="32"/>
        <v>11335.16</v>
      </c>
      <c r="K52" s="232">
        <f t="shared" si="32"/>
        <v>6508.11</v>
      </c>
      <c r="L52" s="233">
        <f t="shared" si="32"/>
        <v>2074.62</v>
      </c>
      <c r="M52" s="234">
        <f t="shared" si="32"/>
        <v>2623.65</v>
      </c>
      <c r="N52" s="235">
        <f t="shared" si="32"/>
        <v>7057.14</v>
      </c>
      <c r="O52" s="133"/>
      <c r="P52" s="144" t="s">
        <v>72</v>
      </c>
      <c r="Q52" s="133"/>
      <c r="R52" s="347">
        <f>IF(ISERROR($T$5/N57),"NA",T5/N57)</f>
        <v>162.11555956095529</v>
      </c>
      <c r="S52" s="347">
        <f>IF(ISERROR($T$5/D72),"NA",$T$5/D72)</f>
        <v>78.178675943964592</v>
      </c>
      <c r="T52" s="348">
        <f>IF(ISERROR($T$5/E72),"NA",$T$5/E72)</f>
        <v>48.398658242428738</v>
      </c>
      <c r="U52" s="140"/>
      <c r="V52" s="133"/>
      <c r="W52" s="349"/>
      <c r="X52" s="350"/>
      <c r="Y52" s="350"/>
      <c r="Z52" s="350"/>
      <c r="AA52" s="350"/>
      <c r="AB52" s="350"/>
      <c r="AC52" s="350"/>
      <c r="AD52" s="350"/>
      <c r="AE52" s="351"/>
    </row>
    <row r="53" spans="1:31" ht="15.75" thickTop="1">
      <c r="A53" s="318" t="s">
        <v>219</v>
      </c>
      <c r="B53" s="133"/>
      <c r="C53" s="133"/>
      <c r="D53" s="322"/>
      <c r="E53" s="241">
        <f>AB13</f>
        <v>9455.3536100675665</v>
      </c>
      <c r="F53" s="133"/>
      <c r="G53" s="281" t="s">
        <v>163</v>
      </c>
      <c r="H53" s="157"/>
      <c r="I53" s="282">
        <f t="shared" ref="I53:N53" si="33">IF(ISERROR(I52/I8),"NA",I52/I8)</f>
        <v>0.32597481259370314</v>
      </c>
      <c r="J53" s="282">
        <f t="shared" si="33"/>
        <v>0.42116222040573681</v>
      </c>
      <c r="K53" s="282">
        <f t="shared" si="33"/>
        <v>0.24127344850596869</v>
      </c>
      <c r="L53" s="283">
        <f t="shared" si="33"/>
        <v>0.25031611969111967</v>
      </c>
      <c r="M53" s="284">
        <f t="shared" si="33"/>
        <v>0.36480116796440493</v>
      </c>
      <c r="N53" s="285">
        <f t="shared" si="33"/>
        <v>0.2727080918154417</v>
      </c>
      <c r="O53" s="133"/>
      <c r="P53" s="180" t="s">
        <v>220</v>
      </c>
      <c r="Q53" s="181"/>
      <c r="R53" s="347">
        <f>IF(ISERROR($T$11/(N73-N74)),"NA",($T$11/(N73-N74)))</f>
        <v>229.47924132523036</v>
      </c>
      <c r="S53" s="352"/>
      <c r="T53" s="353"/>
      <c r="U53" s="140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</row>
    <row r="54" spans="1:31">
      <c r="A54" s="318" t="s">
        <v>221</v>
      </c>
      <c r="B54" s="133"/>
      <c r="C54" s="133"/>
      <c r="D54" s="326"/>
      <c r="E54" s="330">
        <v>15.62</v>
      </c>
      <c r="F54" s="133"/>
      <c r="G54" s="152"/>
      <c r="H54" s="133"/>
      <c r="I54" s="290"/>
      <c r="J54" s="290"/>
      <c r="K54" s="290"/>
      <c r="L54" s="291"/>
      <c r="M54" s="292"/>
      <c r="N54" s="293"/>
      <c r="O54" s="133"/>
      <c r="P54" s="137" t="s">
        <v>222</v>
      </c>
      <c r="Q54" s="138"/>
      <c r="R54" s="138"/>
      <c r="S54" s="138"/>
      <c r="T54" s="139"/>
      <c r="U54" s="140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</row>
    <row r="55" spans="1:31">
      <c r="A55" s="144"/>
      <c r="B55" s="133"/>
      <c r="C55" s="133"/>
      <c r="D55" s="133"/>
      <c r="E55" s="201"/>
      <c r="F55" s="133"/>
      <c r="G55" s="152" t="s">
        <v>223</v>
      </c>
      <c r="H55" s="133"/>
      <c r="I55" s="208">
        <v>0</v>
      </c>
      <c r="J55" s="208">
        <v>0</v>
      </c>
      <c r="K55" s="208">
        <v>0</v>
      </c>
      <c r="L55" s="209">
        <v>0</v>
      </c>
      <c r="M55" s="210">
        <v>0</v>
      </c>
      <c r="N55" s="193">
        <f>+IF(ISERROR(K55+M55-L55),"NA",K55+M55-L55)</f>
        <v>0</v>
      </c>
      <c r="O55" s="354"/>
      <c r="P55" s="355" t="s">
        <v>224</v>
      </c>
      <c r="Q55" s="356"/>
      <c r="R55" s="356"/>
      <c r="S55" s="356"/>
      <c r="T55" s="357"/>
      <c r="U55" s="140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</row>
    <row r="56" spans="1:31">
      <c r="A56" s="318" t="s">
        <v>225</v>
      </c>
      <c r="B56" s="133"/>
      <c r="C56" s="133"/>
      <c r="D56" s="133"/>
      <c r="E56" s="358">
        <f>MAX(0,D68-E38)</f>
        <v>0</v>
      </c>
      <c r="F56" s="133"/>
      <c r="G56" s="152" t="s">
        <v>226</v>
      </c>
      <c r="H56" s="133"/>
      <c r="I56" s="208">
        <v>0</v>
      </c>
      <c r="J56" s="208">
        <v>0</v>
      </c>
      <c r="K56" s="208">
        <v>0</v>
      </c>
      <c r="L56" s="209">
        <v>0</v>
      </c>
      <c r="M56" s="210">
        <v>0</v>
      </c>
      <c r="N56" s="193">
        <f>+IF(ISERROR(K56+M56-L56),"NA",K56+M56-L56)</f>
        <v>0</v>
      </c>
      <c r="O56" s="354"/>
      <c r="P56" s="144"/>
      <c r="Q56" s="133"/>
      <c r="R56" s="359" t="s">
        <v>28</v>
      </c>
      <c r="S56" s="359" t="s">
        <v>29</v>
      </c>
      <c r="T56" s="360" t="s">
        <v>31</v>
      </c>
      <c r="U56" s="140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</row>
    <row r="57" spans="1:31">
      <c r="A57" s="318" t="s">
        <v>227</v>
      </c>
      <c r="B57" s="133"/>
      <c r="C57" s="133"/>
      <c r="D57" s="133"/>
      <c r="E57" s="358">
        <f>MAX(0,E38-D68)</f>
        <v>31</v>
      </c>
      <c r="F57" s="133"/>
      <c r="G57" s="361" t="s">
        <v>228</v>
      </c>
      <c r="H57" s="133"/>
      <c r="I57" s="362">
        <f>IF(ISERROR((I52+I55)/(I21+I56)),0,((I52+I55)/(I21+I56)))</f>
        <v>2.1655896414342628</v>
      </c>
      <c r="J57" s="362">
        <f t="shared" ref="J57:N57" si="34">IF(ISERROR((J52+J55)/(J21+J56)),0,((J52+J55)/(J21+J56)))</f>
        <v>4.4714635108481264</v>
      </c>
      <c r="K57" s="362">
        <f t="shared" si="34"/>
        <v>2.5959752692461109</v>
      </c>
      <c r="L57" s="363">
        <f t="shared" si="34"/>
        <v>0.81774536854552615</v>
      </c>
      <c r="M57" s="364">
        <f t="shared" si="34"/>
        <v>1.0536746987951808</v>
      </c>
      <c r="N57" s="365">
        <f t="shared" si="34"/>
        <v>2.8687560975609756</v>
      </c>
      <c r="O57" s="354"/>
      <c r="P57" s="366" t="s">
        <v>229</v>
      </c>
      <c r="Q57" s="133"/>
      <c r="R57" s="133"/>
      <c r="S57" s="133"/>
      <c r="T57" s="201"/>
      <c r="U57" s="140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</row>
    <row r="58" spans="1:31">
      <c r="A58" s="318" t="s">
        <v>230</v>
      </c>
      <c r="B58" s="367"/>
      <c r="C58" s="367"/>
      <c r="D58" s="367"/>
      <c r="E58" s="368">
        <f>IF(E57&gt;0,E57/365,0)</f>
        <v>8.4931506849315067E-2</v>
      </c>
      <c r="F58" s="133"/>
      <c r="G58" s="152"/>
      <c r="H58" s="133"/>
      <c r="I58" s="133"/>
      <c r="J58" s="133"/>
      <c r="K58" s="133"/>
      <c r="L58" s="133"/>
      <c r="M58" s="133"/>
      <c r="N58" s="148"/>
      <c r="O58" s="354"/>
      <c r="P58" s="144" t="s">
        <v>231</v>
      </c>
      <c r="Q58" s="133"/>
      <c r="R58" s="369">
        <f>IF(MONTH(E8)=12,(K8/J8-1),(E63/D63-1))</f>
        <v>3.5497776661781E-2</v>
      </c>
      <c r="S58" s="369">
        <f>IF(MONTH(E8)=12,(K44/J44-1),(E64/D64-1))</f>
        <v>-0.30042760787164546</v>
      </c>
      <c r="T58" s="370">
        <f>IF(MONTH(E8)=12,(K57/J57-1),(E66/D66-1))</f>
        <v>-0.35558774767955792</v>
      </c>
      <c r="U58" s="140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</row>
    <row r="59" spans="1:31">
      <c r="A59" s="318" t="s">
        <v>232</v>
      </c>
      <c r="B59" s="367"/>
      <c r="C59" s="367"/>
      <c r="D59" s="367"/>
      <c r="E59" s="368">
        <f>IF(E56&gt;0,(365-E56)/365,1-E58)</f>
        <v>0.91506849315068495</v>
      </c>
      <c r="F59" s="133"/>
      <c r="G59" s="371" t="s">
        <v>233</v>
      </c>
      <c r="H59" s="372"/>
      <c r="I59" s="372"/>
      <c r="J59" s="372"/>
      <c r="K59" s="372"/>
      <c r="L59" s="372"/>
      <c r="M59" s="372"/>
      <c r="N59" s="373"/>
      <c r="O59" s="354"/>
      <c r="P59" s="144" t="s">
        <v>234</v>
      </c>
      <c r="Q59" s="133"/>
      <c r="R59" s="369">
        <f>IF(MONTH(E8)=12,((K8/I8)^(1/2)-1),((E63/C63)^(1/2)-1))</f>
        <v>0.32944975119820019</v>
      </c>
      <c r="S59" s="369">
        <f>IF(MONTH(E8)=12,((K44/I44)^(1/2)-1),((E64/C64)^(1/2)-1))</f>
        <v>0.17513692880046161</v>
      </c>
      <c r="T59" s="370">
        <f>IF(MONTH(E8)=12,((K57/I57)^(1/2)-1),((E66/C66)^(1/2)-1))</f>
        <v>0.17914352568575143</v>
      </c>
      <c r="U59" s="354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 spans="1:31">
      <c r="A60" s="318" t="s">
        <v>235</v>
      </c>
      <c r="B60" s="367"/>
      <c r="C60" s="367"/>
      <c r="D60" s="367"/>
      <c r="E60" s="368">
        <f>1-E59-E58</f>
        <v>0</v>
      </c>
      <c r="F60" s="133"/>
      <c r="G60" s="472"/>
      <c r="H60" s="473"/>
      <c r="I60" s="473"/>
      <c r="J60" s="473"/>
      <c r="K60" s="473"/>
      <c r="L60" s="473"/>
      <c r="M60" s="473"/>
      <c r="N60" s="474"/>
      <c r="O60" s="133"/>
      <c r="P60" s="144"/>
      <c r="Q60" s="133"/>
      <c r="R60" s="133"/>
      <c r="S60" s="133"/>
      <c r="T60" s="201"/>
      <c r="U60" s="140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</row>
    <row r="61" spans="1:31">
      <c r="A61" s="133"/>
      <c r="B61" s="133"/>
      <c r="C61" s="133"/>
      <c r="D61" s="133"/>
      <c r="E61" s="201"/>
      <c r="F61" s="133"/>
      <c r="G61" s="475"/>
      <c r="H61" s="476"/>
      <c r="I61" s="476"/>
      <c r="J61" s="476"/>
      <c r="K61" s="476"/>
      <c r="L61" s="476"/>
      <c r="M61" s="476"/>
      <c r="N61" s="477"/>
      <c r="O61" s="133"/>
      <c r="P61" s="366" t="s">
        <v>236</v>
      </c>
      <c r="Q61" s="133"/>
      <c r="R61" s="369"/>
      <c r="S61" s="369"/>
      <c r="T61" s="370"/>
      <c r="U61" s="140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</row>
    <row r="62" spans="1:31">
      <c r="A62" s="374" t="s">
        <v>237</v>
      </c>
      <c r="B62" s="133"/>
      <c r="C62" s="375">
        <f>EOMONTH(D62,-12)</f>
        <v>44196</v>
      </c>
      <c r="D62" s="375">
        <f>EOMONTH(E62,-12)</f>
        <v>44561</v>
      </c>
      <c r="E62" s="319">
        <f>EOMONTH(D68,-12)</f>
        <v>44926</v>
      </c>
      <c r="F62" s="133"/>
      <c r="G62" s="478"/>
      <c r="H62" s="476"/>
      <c r="I62" s="476"/>
      <c r="J62" s="476"/>
      <c r="K62" s="476"/>
      <c r="L62" s="476"/>
      <c r="M62" s="476"/>
      <c r="N62" s="477"/>
      <c r="O62" s="133"/>
      <c r="P62" s="144" t="s">
        <v>231</v>
      </c>
      <c r="Q62" s="133"/>
      <c r="R62" s="369">
        <f>IF(MONTH(E8)=12,(D69/K8-1),(D69/E63-1))</f>
        <v>0.51929172613817043</v>
      </c>
      <c r="S62" s="369">
        <f>IF(MONTH(E8)=12,(D70/K44-1),(D70/E64-1))</f>
        <v>-0.1903953306293934</v>
      </c>
      <c r="T62" s="370">
        <f>IF(MONTH(E8)=12,(D72/K57-1),(D72/E66-1))</f>
        <v>1.1590709074005088</v>
      </c>
      <c r="U62" s="140"/>
      <c r="V62" s="272"/>
      <c r="W62" s="133"/>
      <c r="X62" s="133"/>
      <c r="Y62" s="133"/>
      <c r="Z62" s="133"/>
      <c r="AA62" s="133"/>
      <c r="AB62" s="133"/>
      <c r="AC62" s="133"/>
      <c r="AD62" s="133"/>
      <c r="AE62" s="133"/>
    </row>
    <row r="63" spans="1:31">
      <c r="A63" s="318" t="s">
        <v>98</v>
      </c>
      <c r="B63" s="133"/>
      <c r="C63" s="296">
        <f>H8*$E$58+I8*$E$59+J8*$E$60</f>
        <v>15258.767123287671</v>
      </c>
      <c r="D63" s="296">
        <f>I8*$E$58+J8*$E$59+K8*$E$60</f>
        <v>26044.386301369865</v>
      </c>
      <c r="E63" s="211">
        <f>J8*$E$58+K8*$E$59+E39*$E$60</f>
        <v>26968.904109589039</v>
      </c>
      <c r="F63" s="133"/>
      <c r="G63" s="475"/>
      <c r="H63" s="476"/>
      <c r="I63" s="476"/>
      <c r="J63" s="476"/>
      <c r="K63" s="476"/>
      <c r="L63" s="476"/>
      <c r="M63" s="476"/>
      <c r="N63" s="477"/>
      <c r="O63" s="133"/>
      <c r="P63" s="144" t="s">
        <v>234</v>
      </c>
      <c r="Q63" s="133"/>
      <c r="R63" s="369">
        <f>IF(MONTH(E8)=12,(($E69/$K8)^(1/2)-1),(($E69/$E63)^(1/2)-1))</f>
        <v>0.54466095229625555</v>
      </c>
      <c r="S63" s="369">
        <f>IF(MONTH(E8)=12,(($E70/$K44)^(1/2)-1),(($E70/$E64)^(1/2)-1))</f>
        <v>-1.4303726747686873E-2</v>
      </c>
      <c r="T63" s="370">
        <f>IF(MONTH(E8)=12,(($E72/$K57)^(1/2)-1),(($E72/$E66)^(1/2)-1))</f>
        <v>0.86750144806147467</v>
      </c>
      <c r="U63" s="376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</row>
    <row r="64" spans="1:31" ht="15.75" thickBot="1">
      <c r="A64" s="318" t="s">
        <v>29</v>
      </c>
      <c r="B64" s="133"/>
      <c r="C64" s="296">
        <f>H44*$E$58+I44*$E$59+J44*$E$60</f>
        <v>6430.186301369863</v>
      </c>
      <c r="D64" s="296">
        <f>I44*$E$58+J44*$E$59+K44*$E$60</f>
        <v>12693.10410958904</v>
      </c>
      <c r="E64" s="211">
        <f>J44*$E$58+K44*$E$59+E40*$E$60</f>
        <v>8879.7452054794521</v>
      </c>
      <c r="F64" s="133"/>
      <c r="G64" s="377"/>
      <c r="H64" s="378"/>
      <c r="I64" s="378"/>
      <c r="J64" s="378"/>
      <c r="K64" s="378"/>
      <c r="L64" s="378"/>
      <c r="M64" s="378"/>
      <c r="N64" s="379"/>
      <c r="O64" s="133"/>
      <c r="P64" s="144" t="s">
        <v>238</v>
      </c>
      <c r="Q64" s="133"/>
      <c r="R64" s="157"/>
      <c r="S64" s="157"/>
      <c r="T64" s="380">
        <v>0</v>
      </c>
      <c r="U64" s="376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</row>
    <row r="65" spans="1:31">
      <c r="A65" s="318" t="s">
        <v>30</v>
      </c>
      <c r="B65" s="133"/>
      <c r="C65" s="296">
        <f>H39*$E$58+I39*$E$59+J39*$E$60</f>
        <v>5425.4410958904109</v>
      </c>
      <c r="D65" s="296">
        <f>I39*$E$58+J39*$E$59+K39*$E$60</f>
        <v>11525.558904109588</v>
      </c>
      <c r="E65" s="211">
        <f>J39*$E$58+K39*$E$59+E41*$E$60</f>
        <v>7367.1698630136989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44"/>
      <c r="Q65" s="133"/>
      <c r="R65" s="133"/>
      <c r="S65" s="133"/>
      <c r="T65" s="201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</row>
    <row r="66" spans="1:31">
      <c r="A66" s="318" t="s">
        <v>31</v>
      </c>
      <c r="B66" s="133"/>
      <c r="C66" s="381">
        <f>H57*$E$58+I57*$E$59+J57*$E$60</f>
        <v>1.9816628499699829</v>
      </c>
      <c r="D66" s="381">
        <f>I57*$E$58+J57*$E$59+K57*$E$60</f>
        <v>4.2756221685143458</v>
      </c>
      <c r="E66" s="382">
        <f>J57*$E$58+K57*$E$59+E42*$E$60</f>
        <v>2.7552633116835423</v>
      </c>
      <c r="F66" s="133"/>
      <c r="G66" s="137" t="s">
        <v>239</v>
      </c>
      <c r="H66" s="138"/>
      <c r="I66" s="138"/>
      <c r="J66" s="138"/>
      <c r="K66" s="139"/>
      <c r="L66" s="137"/>
      <c r="M66" s="138"/>
      <c r="N66" s="138"/>
      <c r="O66" s="133"/>
      <c r="P66" s="355" t="s">
        <v>240</v>
      </c>
      <c r="Q66" s="134"/>
      <c r="R66" s="134"/>
      <c r="S66" s="134"/>
      <c r="T66" s="38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</row>
    <row r="67" spans="1:31">
      <c r="A67" s="144"/>
      <c r="B67" s="133"/>
      <c r="C67" s="133"/>
      <c r="D67" s="133"/>
      <c r="E67" s="201"/>
      <c r="F67" s="133"/>
      <c r="G67" s="144"/>
      <c r="H67" s="133"/>
      <c r="I67" s="147"/>
      <c r="J67" s="147"/>
      <c r="K67" s="133"/>
      <c r="L67" s="32" t="s">
        <v>88</v>
      </c>
      <c r="M67" s="32" t="s">
        <v>89</v>
      </c>
      <c r="N67" s="201"/>
      <c r="O67" s="133"/>
      <c r="P67" s="144" t="s">
        <v>241</v>
      </c>
      <c r="Q67" s="133"/>
      <c r="R67" s="133"/>
      <c r="S67" s="133"/>
      <c r="T67" s="159">
        <f>IF(ISERROR((N39*(1-E10))/(AVERAGE(D26+D32,E26+E32))),0,(N39*(1-E10))/(AVERAGE(D26+D32,E26+E32)))</f>
        <v>0.17616708063245898</v>
      </c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</row>
    <row r="68" spans="1:31">
      <c r="A68" s="374" t="s">
        <v>242</v>
      </c>
      <c r="B68" s="133"/>
      <c r="C68" s="133"/>
      <c r="D68" s="375">
        <f>DATE(YEAR(S5),12,31)</f>
        <v>45291</v>
      </c>
      <c r="E68" s="319">
        <f>+EOMONTH(D68,12)</f>
        <v>45657</v>
      </c>
      <c r="F68" s="133"/>
      <c r="G68" s="144"/>
      <c r="H68" s="133"/>
      <c r="I68" s="154" t="str">
        <f>"Fiscal Year Ending "&amp;TEXT($E$8,"mmmm d")&amp;","</f>
        <v>Fiscal Year Ending January 29,</v>
      </c>
      <c r="J68" s="154"/>
      <c r="K68" s="154"/>
      <c r="L68" s="32" t="s">
        <v>91</v>
      </c>
      <c r="M68" s="32" t="s">
        <v>91</v>
      </c>
      <c r="N68" s="279" t="s">
        <v>16</v>
      </c>
      <c r="O68" s="133"/>
      <c r="P68" s="186" t="s">
        <v>243</v>
      </c>
      <c r="Q68" s="133"/>
      <c r="R68" s="133"/>
      <c r="S68" s="133"/>
      <c r="T68" s="159">
        <f>IF(ISERROR(N52/AVERAGE(D32,E32)),0,N52/AVERAGE(D32,E32))</f>
        <v>0.30274511486240108</v>
      </c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</row>
    <row r="69" spans="1:31">
      <c r="A69" s="318" t="s">
        <v>98</v>
      </c>
      <c r="B69" s="133"/>
      <c r="C69" s="133"/>
      <c r="D69" s="384">
        <f>K8*$E$58+E39*$E$59+E45*$E$60</f>
        <v>40973.632876712327</v>
      </c>
      <c r="E69" s="385">
        <f>E39*$E$58+E45*$E$59+E51*$E$60</f>
        <v>64347.197260273977</v>
      </c>
      <c r="F69" s="133"/>
      <c r="G69" s="386"/>
      <c r="H69" s="134"/>
      <c r="I69" s="161">
        <f t="shared" ref="I69:N69" si="35">+I27</f>
        <v>44225</v>
      </c>
      <c r="J69" s="161">
        <f t="shared" si="35"/>
        <v>44590</v>
      </c>
      <c r="K69" s="161">
        <f t="shared" si="35"/>
        <v>44955</v>
      </c>
      <c r="L69" s="162">
        <f t="shared" si="35"/>
        <v>44682</v>
      </c>
      <c r="M69" s="163">
        <f t="shared" si="35"/>
        <v>45046</v>
      </c>
      <c r="N69" s="288">
        <f t="shared" si="35"/>
        <v>45046</v>
      </c>
      <c r="O69" s="133"/>
      <c r="P69" s="186" t="s">
        <v>244</v>
      </c>
      <c r="Q69" s="133"/>
      <c r="R69" s="133"/>
      <c r="S69" s="133"/>
      <c r="T69" s="159">
        <f>IF(ISERROR(N52/AVERAGE(D23,E23)),0,N52/AVERAGE(D23,E23))</f>
        <v>0.16480558604423065</v>
      </c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</row>
    <row r="70" spans="1:31">
      <c r="A70" s="318" t="s">
        <v>29</v>
      </c>
      <c r="B70" s="133"/>
      <c r="C70" s="133"/>
      <c r="D70" s="296">
        <f>K44*$E$58+E40*$E$59+E46*$E$60</f>
        <v>7189.0831811774206</v>
      </c>
      <c r="E70" s="385">
        <f>E40*$E$58+E46*$E$59+E52*$E$60</f>
        <v>8627.5350731308263</v>
      </c>
      <c r="F70" s="133"/>
      <c r="G70" s="144" t="s">
        <v>199</v>
      </c>
      <c r="H70" s="133"/>
      <c r="I70" s="208">
        <v>1098</v>
      </c>
      <c r="J70" s="208">
        <v>1174</v>
      </c>
      <c r="K70" s="208">
        <v>1544</v>
      </c>
      <c r="L70" s="209">
        <v>334</v>
      </c>
      <c r="M70" s="210">
        <v>384</v>
      </c>
      <c r="N70" s="387">
        <f>K70+M70-L70</f>
        <v>1594</v>
      </c>
      <c r="O70" s="306"/>
      <c r="P70" s="43" t="s">
        <v>245</v>
      </c>
      <c r="Q70" s="133"/>
      <c r="R70" s="133"/>
      <c r="S70" s="133"/>
      <c r="T70" s="159">
        <f>IF(ISERROR((T9*4)/T5),"NA",(T9*4)/T5)</f>
        <v>3.4403423140602494E-4</v>
      </c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</row>
    <row r="71" spans="1:31">
      <c r="A71" s="318" t="s">
        <v>30</v>
      </c>
      <c r="B71" s="133"/>
      <c r="C71" s="133"/>
      <c r="D71" s="296">
        <f>K39*$E$58+E41*$E$59+E47*$E$60</f>
        <v>5645.0831811774206</v>
      </c>
      <c r="E71" s="385">
        <f>E41*$E$58+E47*$E$59+E53*$E$60</f>
        <v>7083.5350731308272</v>
      </c>
      <c r="F71" s="133"/>
      <c r="G71" s="156" t="s">
        <v>246</v>
      </c>
      <c r="H71" s="157"/>
      <c r="I71" s="388">
        <f t="shared" ref="I71:N71" si="36">IF(ISERROR(I70/I8),"NA",I70/I8)</f>
        <v>6.5847076461769113E-2</v>
      </c>
      <c r="J71" s="388">
        <f t="shared" si="36"/>
        <v>4.362042059894479E-2</v>
      </c>
      <c r="K71" s="388">
        <f t="shared" si="36"/>
        <v>5.7240305479350488E-2</v>
      </c>
      <c r="L71" s="389">
        <f t="shared" si="36"/>
        <v>4.0299227799227802E-2</v>
      </c>
      <c r="M71" s="390">
        <f t="shared" si="36"/>
        <v>5.3392658509454953E-2</v>
      </c>
      <c r="N71" s="391">
        <f t="shared" si="36"/>
        <v>6.1596723085246156E-2</v>
      </c>
      <c r="O71" s="133"/>
      <c r="P71" s="144"/>
      <c r="Q71" s="133"/>
      <c r="R71" s="133"/>
      <c r="S71" s="133"/>
      <c r="T71" s="201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</row>
    <row r="72" spans="1:31">
      <c r="A72" s="392" t="s">
        <v>31</v>
      </c>
      <c r="B72" s="181"/>
      <c r="C72" s="181"/>
      <c r="D72" s="393">
        <f>K57*$E$58+E42*$E$59+E48*$E$60</f>
        <v>5.9488088584839165</v>
      </c>
      <c r="E72" s="394">
        <f>E42*$E$58+E48*$E$59+E54*$E$60</f>
        <v>9.6091506849315067</v>
      </c>
      <c r="F72" s="133"/>
      <c r="G72" s="144" t="s">
        <v>180</v>
      </c>
      <c r="H72" s="133"/>
      <c r="I72" s="208">
        <v>1397</v>
      </c>
      <c r="J72" s="208">
        <v>2004</v>
      </c>
      <c r="K72" s="208">
        <v>2709</v>
      </c>
      <c r="L72" s="209">
        <v>578</v>
      </c>
      <c r="M72" s="210">
        <v>735</v>
      </c>
      <c r="N72" s="387">
        <f>K72+M72-L72</f>
        <v>2866</v>
      </c>
      <c r="O72" s="133"/>
      <c r="P72" s="355" t="s">
        <v>247</v>
      </c>
      <c r="Q72" s="356"/>
      <c r="R72" s="356"/>
      <c r="S72" s="356"/>
      <c r="T72" s="357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</row>
    <row r="73" spans="1:31">
      <c r="A73" s="133"/>
      <c r="B73" s="133"/>
      <c r="C73" s="133"/>
      <c r="D73" s="133"/>
      <c r="E73" s="133"/>
      <c r="F73" s="133"/>
      <c r="G73" s="144" t="s">
        <v>248</v>
      </c>
      <c r="H73" s="133"/>
      <c r="I73" s="208">
        <v>5822</v>
      </c>
      <c r="J73" s="208">
        <v>9108</v>
      </c>
      <c r="K73" s="208">
        <v>5641</v>
      </c>
      <c r="L73" s="209">
        <v>1731</v>
      </c>
      <c r="M73" s="210">
        <v>2911</v>
      </c>
      <c r="N73" s="387">
        <f>K73+M73-L73</f>
        <v>6821</v>
      </c>
      <c r="O73" s="133"/>
      <c r="P73" s="144" t="s">
        <v>249</v>
      </c>
      <c r="Q73" s="133"/>
      <c r="R73" s="133"/>
      <c r="S73" s="133"/>
      <c r="T73" s="159">
        <f>IF(ISBLANK(S13),(E26/(E26+T11)),(S13/(S13+T11)))</f>
        <v>8.2217945318813594E-3</v>
      </c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</row>
    <row r="74" spans="1:31">
      <c r="A74" s="395" t="s">
        <v>250</v>
      </c>
      <c r="B74" s="396"/>
      <c r="C74" s="396"/>
      <c r="D74" s="396"/>
      <c r="E74" s="397"/>
      <c r="F74" s="133"/>
      <c r="G74" s="144" t="s">
        <v>251</v>
      </c>
      <c r="H74" s="133"/>
      <c r="I74" s="208">
        <v>1128</v>
      </c>
      <c r="J74" s="208">
        <v>976</v>
      </c>
      <c r="K74" s="208">
        <v>1833</v>
      </c>
      <c r="L74" s="209">
        <v>361</v>
      </c>
      <c r="M74" s="210">
        <v>248</v>
      </c>
      <c r="N74" s="387">
        <f>K74+M74-L74</f>
        <v>1720</v>
      </c>
      <c r="O74" s="133"/>
      <c r="P74" s="144" t="s">
        <v>252</v>
      </c>
      <c r="Q74" s="133"/>
      <c r="R74" s="133"/>
      <c r="S74" s="133"/>
      <c r="T74" s="398">
        <f>IF(ISERROR(S13/N44),0,T13/N44)</f>
        <v>1.0835194283162126</v>
      </c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</row>
    <row r="75" spans="1:31">
      <c r="A75" s="399"/>
      <c r="B75" s="322"/>
      <c r="C75" s="322"/>
      <c r="D75" s="322"/>
      <c r="E75" s="400"/>
      <c r="F75" s="133"/>
      <c r="G75" s="156" t="s">
        <v>246</v>
      </c>
      <c r="H75" s="157"/>
      <c r="I75" s="388">
        <f t="shared" ref="I75:N75" si="37">IF(ISERROR(I74/I8),"NA",I74/I8)</f>
        <v>6.7646176911544231E-2</v>
      </c>
      <c r="J75" s="388">
        <f t="shared" si="37"/>
        <v>3.6263654603552055E-2</v>
      </c>
      <c r="K75" s="388">
        <f>IF(ISERROR(K74/K8),"NA",K74/K8)</f>
        <v>6.7954326388373995E-2</v>
      </c>
      <c r="L75" s="389">
        <f t="shared" si="37"/>
        <v>4.355694980694981E-2</v>
      </c>
      <c r="M75" s="390">
        <f t="shared" si="37"/>
        <v>3.4482758620689655E-2</v>
      </c>
      <c r="N75" s="391">
        <f t="shared" si="37"/>
        <v>6.6465723780817679E-2</v>
      </c>
      <c r="O75" s="133"/>
      <c r="P75" s="180" t="s">
        <v>253</v>
      </c>
      <c r="Q75" s="181"/>
      <c r="R75" s="181"/>
      <c r="S75" s="181"/>
      <c r="T75" s="401">
        <f>IF(ISERROR((S13-E14-E15)/N44),0,(S13-E14-E15)/N44)</f>
        <v>-1.7105850826261724</v>
      </c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</row>
  </sheetData>
  <mergeCells count="3">
    <mergeCell ref="P2:T2"/>
    <mergeCell ref="G60:N61"/>
    <mergeCell ref="G62:N63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A8A0-7976-42BA-8BFE-95003CD4CCB4}">
  <dimension ref="A1:AE75"/>
  <sheetViews>
    <sheetView showGridLines="0" zoomScale="85" zoomScaleNormal="85" workbookViewId="0">
      <selection activeCell="F5" sqref="F5"/>
    </sheetView>
  </sheetViews>
  <sheetFormatPr defaultRowHeight="15"/>
  <cols>
    <col min="2" max="2" width="23.28515625" customWidth="1"/>
    <col min="3" max="3" width="13.28515625" customWidth="1"/>
    <col min="4" max="4" width="11.7109375" customWidth="1"/>
    <col min="8" max="8" width="25" customWidth="1"/>
    <col min="11" max="11" width="12.140625" customWidth="1"/>
    <col min="12" max="12" width="10.42578125" bestFit="1" customWidth="1"/>
    <col min="13" max="13" width="10.7109375" customWidth="1"/>
    <col min="17" max="17" width="9.7109375" customWidth="1"/>
    <col min="19" max="19" width="20.42578125" customWidth="1"/>
    <col min="20" max="20" width="10.42578125" customWidth="1"/>
    <col min="23" max="23" width="22.28515625" customWidth="1"/>
    <col min="24" max="24" width="12.85546875" customWidth="1"/>
    <col min="25" max="25" width="12" bestFit="1" customWidth="1"/>
    <col min="26" max="26" width="12.28515625" bestFit="1" customWidth="1"/>
    <col min="27" max="28" width="11.28515625" bestFit="1" customWidth="1"/>
  </cols>
  <sheetData>
    <row r="1" spans="1:31" ht="20.25">
      <c r="A1" s="132" t="str">
        <f>E5&amp;" ("&amp;E7&amp;":"&amp;E6&amp;") Inputs"</f>
        <v>AMD (NASDAQ:AMD) Inputs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/>
      <c r="Q1" s="134"/>
      <c r="R1" s="134"/>
      <c r="S1" s="134"/>
      <c r="T1" s="134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1">
      <c r="A2" s="135" t="str">
        <f>E9&amp;" in millions, except per share data"</f>
        <v>USD in millions, except per share data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471"/>
      <c r="Q2" s="471"/>
      <c r="R2" s="471"/>
      <c r="S2" s="471"/>
      <c r="T2" s="471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1:31" ht="15.75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6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</row>
    <row r="4" spans="1:31">
      <c r="A4" s="137" t="s">
        <v>5</v>
      </c>
      <c r="B4" s="138"/>
      <c r="C4" s="138"/>
      <c r="D4" s="138"/>
      <c r="E4" s="139"/>
      <c r="F4" s="133"/>
      <c r="G4" s="137" t="s">
        <v>83</v>
      </c>
      <c r="H4" s="138"/>
      <c r="I4" s="138"/>
      <c r="J4" s="138"/>
      <c r="K4" s="139"/>
      <c r="L4" s="137"/>
      <c r="M4" s="138"/>
      <c r="N4" s="138"/>
      <c r="O4" s="133"/>
      <c r="P4" s="137" t="s">
        <v>84</v>
      </c>
      <c r="Q4" s="138"/>
      <c r="R4" s="138"/>
      <c r="S4" s="138"/>
      <c r="T4" s="139"/>
      <c r="U4" s="140"/>
      <c r="V4" s="133"/>
      <c r="W4" s="141" t="s">
        <v>85</v>
      </c>
      <c r="X4" s="142"/>
      <c r="Y4" s="142"/>
      <c r="Z4" s="142"/>
      <c r="AA4" s="142"/>
      <c r="AB4" s="142"/>
      <c r="AC4" s="142"/>
      <c r="AD4" s="142"/>
      <c r="AE4" s="143"/>
    </row>
    <row r="5" spans="1:31">
      <c r="A5" s="144" t="s">
        <v>86</v>
      </c>
      <c r="B5" s="133"/>
      <c r="C5" s="133"/>
      <c r="D5" s="145"/>
      <c r="E5" s="402" t="s">
        <v>254</v>
      </c>
      <c r="F5" s="133"/>
      <c r="G5" s="146"/>
      <c r="H5" s="147"/>
      <c r="I5" s="147"/>
      <c r="J5" s="147"/>
      <c r="K5" s="133"/>
      <c r="L5" s="32" t="s">
        <v>88</v>
      </c>
      <c r="M5" s="32" t="s">
        <v>89</v>
      </c>
      <c r="N5" s="148"/>
      <c r="O5" s="133"/>
      <c r="P5" s="144" t="s">
        <v>90</v>
      </c>
      <c r="Q5" s="133"/>
      <c r="R5" s="133"/>
      <c r="S5" s="149">
        <v>45139</v>
      </c>
      <c r="T5" s="150">
        <v>117.6</v>
      </c>
      <c r="U5" s="140"/>
      <c r="V5" s="151"/>
      <c r="W5" s="409" t="s">
        <v>93</v>
      </c>
      <c r="X5" s="414" t="s">
        <v>94</v>
      </c>
      <c r="Y5" s="133"/>
      <c r="Z5" s="133"/>
      <c r="AA5" s="133"/>
      <c r="AB5" s="133"/>
      <c r="AC5" s="133"/>
      <c r="AD5" s="133"/>
      <c r="AE5" s="148"/>
    </row>
    <row r="6" spans="1:31">
      <c r="A6" s="144" t="s">
        <v>3</v>
      </c>
      <c r="B6" s="133"/>
      <c r="C6" s="133"/>
      <c r="D6" s="145"/>
      <c r="E6" s="402" t="s">
        <v>254</v>
      </c>
      <c r="F6" s="133"/>
      <c r="G6" s="153"/>
      <c r="H6" s="147"/>
      <c r="I6" s="154" t="str">
        <f>"Fiscal Year Ending "&amp;TEXT($E$8,"mmmm d")&amp;","</f>
        <v>Fiscal Year Ending December 31,</v>
      </c>
      <c r="J6" s="154"/>
      <c r="K6" s="154"/>
      <c r="L6" s="32" t="s">
        <v>91</v>
      </c>
      <c r="M6" s="32" t="s">
        <v>91</v>
      </c>
      <c r="N6" s="155" t="s">
        <v>16</v>
      </c>
      <c r="O6" s="133"/>
      <c r="P6" s="156" t="s">
        <v>92</v>
      </c>
      <c r="Q6" s="157"/>
      <c r="R6" s="157"/>
      <c r="S6" s="158"/>
      <c r="T6" s="159">
        <f>+IF(ISERROR(T5/T7),"NA",T5/T7)</f>
        <v>0.88534216667921395</v>
      </c>
      <c r="U6" s="140"/>
      <c r="V6" s="133"/>
      <c r="W6" s="152" t="s">
        <v>98</v>
      </c>
      <c r="X6" s="407">
        <f>K8</f>
        <v>23601</v>
      </c>
      <c r="Y6" s="410">
        <f>X6*(1+AA15)</f>
        <v>36810.504930460906</v>
      </c>
      <c r="Z6" s="410">
        <f>Y6*(1+AA15)</f>
        <v>57413.383892016718</v>
      </c>
      <c r="AA6" s="410">
        <f>Z6*(1+AA15)</f>
        <v>89547.716233698826</v>
      </c>
      <c r="AC6" s="133"/>
      <c r="AD6" s="133"/>
      <c r="AE6" s="148"/>
    </row>
    <row r="7" spans="1:31">
      <c r="A7" s="144" t="s">
        <v>95</v>
      </c>
      <c r="B7" s="133"/>
      <c r="C7" s="133"/>
      <c r="D7" s="145"/>
      <c r="E7" s="402" t="s">
        <v>96</v>
      </c>
      <c r="F7" s="133"/>
      <c r="G7" s="152"/>
      <c r="H7" s="160"/>
      <c r="I7" s="161">
        <f>J7-365</f>
        <v>44196</v>
      </c>
      <c r="J7" s="161">
        <f>E8-365</f>
        <v>44561</v>
      </c>
      <c r="K7" s="161">
        <f>E8</f>
        <v>44926</v>
      </c>
      <c r="L7" s="162">
        <f>+M7-371</f>
        <v>44737</v>
      </c>
      <c r="M7" s="163">
        <v>45108</v>
      </c>
      <c r="N7" s="164">
        <f>+M7</f>
        <v>45108</v>
      </c>
      <c r="O7" s="133"/>
      <c r="P7" s="43" t="s">
        <v>97</v>
      </c>
      <c r="Q7" s="133"/>
      <c r="R7" s="133"/>
      <c r="S7" s="165"/>
      <c r="T7" s="166">
        <v>132.83000000000001</v>
      </c>
      <c r="U7" s="140"/>
      <c r="V7" s="133"/>
      <c r="W7" s="152" t="s">
        <v>101</v>
      </c>
      <c r="X7" s="196">
        <f>K9</f>
        <v>12998</v>
      </c>
      <c r="Y7" s="410">
        <f>Y6*(1-$AA$16)</f>
        <v>20272.994495408282</v>
      </c>
      <c r="Z7" s="410">
        <f t="shared" ref="Z7:AA7" si="0">Z6*(1-$AA$16)</f>
        <v>31619.811187171446</v>
      </c>
      <c r="AA7" s="410">
        <f t="shared" si="0"/>
        <v>49317.453311538382</v>
      </c>
      <c r="AC7" s="133"/>
      <c r="AD7" s="133"/>
      <c r="AE7" s="148"/>
    </row>
    <row r="8" spans="1:31">
      <c r="A8" s="144" t="s">
        <v>99</v>
      </c>
      <c r="B8" s="133"/>
      <c r="C8" s="133"/>
      <c r="D8" s="167"/>
      <c r="E8" s="403">
        <v>44926</v>
      </c>
      <c r="F8" s="133"/>
      <c r="G8" s="168" t="s">
        <v>98</v>
      </c>
      <c r="H8" s="169"/>
      <c r="I8" s="170">
        <v>9763</v>
      </c>
      <c r="J8" s="170">
        <v>16434</v>
      </c>
      <c r="K8" s="170">
        <v>23601</v>
      </c>
      <c r="L8" s="171">
        <v>12437</v>
      </c>
      <c r="M8" s="172">
        <v>10712</v>
      </c>
      <c r="N8" s="173">
        <f>K8+M8-L8</f>
        <v>21876</v>
      </c>
      <c r="O8" s="133"/>
      <c r="P8" s="43" t="s">
        <v>100</v>
      </c>
      <c r="Q8" s="133"/>
      <c r="R8" s="133"/>
      <c r="S8" s="165"/>
      <c r="T8" s="166">
        <v>54.57</v>
      </c>
      <c r="U8" s="140"/>
      <c r="V8" s="133"/>
      <c r="W8" s="361" t="s">
        <v>105</v>
      </c>
      <c r="X8" s="408">
        <f>X6-X7</f>
        <v>10603</v>
      </c>
      <c r="Y8" s="408">
        <f t="shared" ref="Y8:AA8" si="1">Y6-Y7</f>
        <v>16537.510435052624</v>
      </c>
      <c r="Z8" s="408">
        <f t="shared" si="1"/>
        <v>25793.572704845272</v>
      </c>
      <c r="AA8" s="408">
        <f t="shared" si="1"/>
        <v>40230.262922160444</v>
      </c>
      <c r="AC8" s="133"/>
      <c r="AD8" s="133"/>
      <c r="AE8" s="148"/>
    </row>
    <row r="9" spans="1:31">
      <c r="A9" s="144" t="s">
        <v>102</v>
      </c>
      <c r="B9" s="133"/>
      <c r="C9" s="133"/>
      <c r="D9" s="133"/>
      <c r="E9" s="402" t="s">
        <v>103</v>
      </c>
      <c r="F9" s="133"/>
      <c r="G9" s="174" t="s">
        <v>101</v>
      </c>
      <c r="H9" s="133"/>
      <c r="I9" s="175">
        <v>5416</v>
      </c>
      <c r="J9" s="175">
        <v>8505</v>
      </c>
      <c r="K9" s="175">
        <v>12998</v>
      </c>
      <c r="L9" s="176">
        <v>6591</v>
      </c>
      <c r="M9" s="177">
        <v>5910</v>
      </c>
      <c r="N9" s="178">
        <f>K9+M9-L9</f>
        <v>12317</v>
      </c>
      <c r="O9" s="179"/>
      <c r="P9" s="43" t="s">
        <v>104</v>
      </c>
      <c r="Q9" s="133"/>
      <c r="R9" s="133"/>
      <c r="S9" s="133"/>
      <c r="T9" s="166">
        <v>0</v>
      </c>
      <c r="U9" s="140"/>
      <c r="V9" s="133"/>
      <c r="W9" s="152"/>
      <c r="X9" s="133"/>
      <c r="Y9" s="133"/>
      <c r="Z9" s="133"/>
      <c r="AA9" s="133"/>
      <c r="AC9" s="133"/>
      <c r="AD9" s="133"/>
      <c r="AE9" s="148"/>
    </row>
    <row r="10" spans="1:31">
      <c r="A10" s="180" t="s">
        <v>106</v>
      </c>
      <c r="B10" s="181"/>
      <c r="C10" s="181"/>
      <c r="D10" s="181"/>
      <c r="E10" s="404">
        <v>0.21</v>
      </c>
      <c r="F10" s="133"/>
      <c r="G10" s="182" t="s">
        <v>105</v>
      </c>
      <c r="H10" s="133"/>
      <c r="I10" s="183">
        <f t="shared" ref="I10:N10" si="2">+I8-I9</f>
        <v>4347</v>
      </c>
      <c r="J10" s="183">
        <f t="shared" si="2"/>
        <v>7929</v>
      </c>
      <c r="K10" s="183">
        <f t="shared" si="2"/>
        <v>10603</v>
      </c>
      <c r="L10" s="184">
        <f t="shared" si="2"/>
        <v>5846</v>
      </c>
      <c r="M10" s="185">
        <f t="shared" si="2"/>
        <v>4802</v>
      </c>
      <c r="N10" s="173">
        <f t="shared" si="2"/>
        <v>9559</v>
      </c>
      <c r="O10" s="133"/>
      <c r="P10" s="186" t="s">
        <v>107</v>
      </c>
      <c r="Q10" s="133"/>
      <c r="R10" s="133"/>
      <c r="S10" s="133"/>
      <c r="T10" s="187">
        <f>+T27</f>
        <v>1642.9213938095238</v>
      </c>
      <c r="U10" s="140"/>
      <c r="V10" s="151"/>
      <c r="W10" s="152" t="s">
        <v>110</v>
      </c>
      <c r="X10" s="196">
        <f>K11</f>
        <v>9339</v>
      </c>
      <c r="Y10" s="410">
        <f>Y6*$AA$17</f>
        <v>14566.048283783501</v>
      </c>
      <c r="Z10" s="410">
        <f t="shared" ref="Z10:AA10" si="3">Z6*$AA$17</f>
        <v>22718.681079934922</v>
      </c>
      <c r="AA10" s="410">
        <f t="shared" si="3"/>
        <v>35434.351167599394</v>
      </c>
      <c r="AC10" s="133"/>
      <c r="AD10" s="133"/>
      <c r="AE10" s="148"/>
    </row>
    <row r="11" spans="1:31">
      <c r="A11" s="133"/>
      <c r="B11" s="133"/>
      <c r="C11" s="133"/>
      <c r="D11" s="145"/>
      <c r="E11" s="145"/>
      <c r="F11" s="133"/>
      <c r="G11" s="174" t="s">
        <v>108</v>
      </c>
      <c r="H11" s="188"/>
      <c r="I11" s="189">
        <f>1983+995</f>
        <v>2978</v>
      </c>
      <c r="J11" s="189">
        <f>2845+1448+-12</f>
        <v>4281</v>
      </c>
      <c r="K11" s="190">
        <f>5005+2336+2100+-102</f>
        <v>9339</v>
      </c>
      <c r="L11" s="191">
        <f>2360+1189+909+-89</f>
        <v>4369</v>
      </c>
      <c r="M11" s="192">
        <f>2854+1132+999+-18</f>
        <v>4967</v>
      </c>
      <c r="N11" s="193">
        <f>K11+M11-L11</f>
        <v>9937</v>
      </c>
      <c r="O11" s="133"/>
      <c r="P11" s="194" t="s">
        <v>109</v>
      </c>
      <c r="Q11" s="133"/>
      <c r="R11" s="133"/>
      <c r="S11" s="133"/>
      <c r="T11" s="195">
        <f>+T10*T5</f>
        <v>193207.55591199998</v>
      </c>
      <c r="U11" s="140"/>
      <c r="V11" s="196"/>
      <c r="W11" s="361" t="s">
        <v>29</v>
      </c>
      <c r="X11" s="408">
        <f>X12+$K$42</f>
        <v>5438</v>
      </c>
      <c r="Y11" s="408">
        <f>Y12+$K$42</f>
        <v>6145.4621512691228</v>
      </c>
      <c r="Z11" s="408">
        <f t="shared" ref="Z11:AA11" si="4">Z12+$K$42</f>
        <v>7248.8916249103495</v>
      </c>
      <c r="AA11" s="408">
        <f t="shared" si="4"/>
        <v>8969.9117545610497</v>
      </c>
      <c r="AC11" s="133"/>
      <c r="AD11" s="133"/>
      <c r="AE11" s="148"/>
    </row>
    <row r="12" spans="1:31">
      <c r="A12" s="137" t="s">
        <v>111</v>
      </c>
      <c r="B12" s="138"/>
      <c r="C12" s="138"/>
      <c r="D12" s="138"/>
      <c r="E12" s="139"/>
      <c r="F12" s="133"/>
      <c r="G12" s="182" t="s">
        <v>112</v>
      </c>
      <c r="H12" s="188"/>
      <c r="I12" s="197">
        <f>I10-I11</f>
        <v>1369</v>
      </c>
      <c r="J12" s="197">
        <f t="shared" ref="J12:N12" si="5">J10-J11</f>
        <v>3648</v>
      </c>
      <c r="K12" s="197">
        <f t="shared" si="5"/>
        <v>1264</v>
      </c>
      <c r="L12" s="198">
        <f t="shared" si="5"/>
        <v>1477</v>
      </c>
      <c r="M12" s="199">
        <f t="shared" si="5"/>
        <v>-165</v>
      </c>
      <c r="N12" s="200">
        <f t="shared" si="5"/>
        <v>-378</v>
      </c>
      <c r="O12" s="133"/>
      <c r="P12" s="144"/>
      <c r="Q12" s="133"/>
      <c r="R12" s="133"/>
      <c r="S12" s="133"/>
      <c r="T12" s="201"/>
      <c r="U12" s="133"/>
      <c r="V12" s="202"/>
      <c r="W12" s="406" t="s">
        <v>30</v>
      </c>
      <c r="X12" s="408">
        <f>X8-X10</f>
        <v>1264</v>
      </c>
      <c r="Y12" s="408">
        <f>Y8-Y10</f>
        <v>1971.4621512691228</v>
      </c>
      <c r="Z12" s="408">
        <f t="shared" ref="Z12:AA12" si="6">Z8-Z10</f>
        <v>3074.8916249103495</v>
      </c>
      <c r="AA12" s="408">
        <f t="shared" si="6"/>
        <v>4795.9117545610497</v>
      </c>
      <c r="AC12" s="133"/>
      <c r="AD12" s="133"/>
      <c r="AE12" s="148"/>
    </row>
    <row r="13" spans="1:31">
      <c r="A13" s="204"/>
      <c r="B13" s="205"/>
      <c r="C13" s="205"/>
      <c r="D13" s="206">
        <f>IF(K7=N7,J7,K7)</f>
        <v>44926</v>
      </c>
      <c r="E13" s="207">
        <f>N7</f>
        <v>45108</v>
      </c>
      <c r="F13" s="133"/>
      <c r="G13" s="174" t="s">
        <v>113</v>
      </c>
      <c r="H13" s="188"/>
      <c r="I13" s="208">
        <v>47</v>
      </c>
      <c r="J13" s="208">
        <v>-55</v>
      </c>
      <c r="K13" s="208">
        <v>-8</v>
      </c>
      <c r="L13" s="209">
        <v>38</v>
      </c>
      <c r="M13" s="210">
        <v>53</v>
      </c>
      <c r="N13" s="193">
        <f>K13+M13-L13</f>
        <v>7</v>
      </c>
      <c r="O13" s="133"/>
      <c r="P13" s="186" t="s">
        <v>114</v>
      </c>
      <c r="Q13" s="133"/>
      <c r="R13" s="133"/>
      <c r="S13" s="208"/>
      <c r="T13" s="211">
        <f>+IF(ISBLANK(S13),E26,S13)</f>
        <v>1714</v>
      </c>
      <c r="U13" s="140"/>
      <c r="V13" s="133"/>
      <c r="W13" s="203"/>
      <c r="X13" s="133"/>
      <c r="Y13" s="133"/>
      <c r="Z13" s="133"/>
      <c r="AA13" s="133"/>
      <c r="AB13" s="133"/>
      <c r="AC13" s="133"/>
      <c r="AD13" s="133"/>
      <c r="AE13" s="148"/>
    </row>
    <row r="14" spans="1:31" ht="16.5">
      <c r="A14" s="204" t="s">
        <v>115</v>
      </c>
      <c r="B14" s="212"/>
      <c r="C14" s="212"/>
      <c r="D14" s="213">
        <v>4835</v>
      </c>
      <c r="E14" s="214">
        <v>3841</v>
      </c>
      <c r="F14" s="133"/>
      <c r="G14" s="174" t="s">
        <v>116</v>
      </c>
      <c r="H14" s="188"/>
      <c r="I14" s="215">
        <v>47</v>
      </c>
      <c r="J14" s="215">
        <v>34</v>
      </c>
      <c r="K14" s="215">
        <v>88</v>
      </c>
      <c r="L14" s="216">
        <v>46</v>
      </c>
      <c r="M14" s="217">
        <v>-89</v>
      </c>
      <c r="N14" s="178">
        <f>K14+M14-L14</f>
        <v>-47</v>
      </c>
      <c r="O14" s="133"/>
      <c r="P14" s="186" t="s">
        <v>117</v>
      </c>
      <c r="Q14" s="133"/>
      <c r="R14" s="133"/>
      <c r="S14" s="133"/>
      <c r="T14" s="218">
        <f>+E31</f>
        <v>0</v>
      </c>
      <c r="U14" s="140"/>
      <c r="V14" s="133"/>
      <c r="W14" s="405" t="s">
        <v>121</v>
      </c>
      <c r="X14" s="133"/>
      <c r="Y14" s="133"/>
      <c r="Z14" s="133"/>
      <c r="AA14" s="133"/>
      <c r="AB14" s="133"/>
      <c r="AC14" s="133"/>
      <c r="AD14" s="133"/>
      <c r="AE14" s="148"/>
    </row>
    <row r="15" spans="1:31">
      <c r="A15" s="219" t="s">
        <v>118</v>
      </c>
      <c r="B15" s="220"/>
      <c r="C15" s="220"/>
      <c r="D15" s="208">
        <v>1020</v>
      </c>
      <c r="E15" s="221">
        <v>2444</v>
      </c>
      <c r="F15" s="133"/>
      <c r="G15" s="182" t="s">
        <v>119</v>
      </c>
      <c r="H15" s="133"/>
      <c r="I15" s="183">
        <f>I12-SUM(I13:I14)</f>
        <v>1275</v>
      </c>
      <c r="J15" s="183">
        <f t="shared" ref="J15:N15" si="7">J12-SUM(J13:J14)</f>
        <v>3669</v>
      </c>
      <c r="K15" s="183">
        <f t="shared" si="7"/>
        <v>1184</v>
      </c>
      <c r="L15" s="184">
        <f t="shared" si="7"/>
        <v>1393</v>
      </c>
      <c r="M15" s="185">
        <f t="shared" si="7"/>
        <v>-129</v>
      </c>
      <c r="N15" s="173">
        <f t="shared" si="7"/>
        <v>-338</v>
      </c>
      <c r="O15" s="133"/>
      <c r="P15" s="186" t="s">
        <v>120</v>
      </c>
      <c r="Q15" s="133"/>
      <c r="R15" s="133"/>
      <c r="S15" s="133"/>
      <c r="T15" s="218">
        <f>+E30</f>
        <v>0</v>
      </c>
      <c r="U15" s="140"/>
      <c r="V15" s="133"/>
      <c r="W15" s="203" t="s">
        <v>125</v>
      </c>
      <c r="X15" s="133"/>
      <c r="Y15" s="411">
        <f>J8/I8-1</f>
        <v>0.68329406944586712</v>
      </c>
      <c r="Z15" s="411">
        <f>K8/J8-1</f>
        <v>0.43610806863818907</v>
      </c>
      <c r="AA15" s="412">
        <f>AVERAGE(Y15:Z15)</f>
        <v>0.5597010690420281</v>
      </c>
      <c r="AB15" s="133"/>
      <c r="AC15" s="133"/>
      <c r="AD15" s="133"/>
      <c r="AE15" s="148"/>
    </row>
    <row r="16" spans="1:31">
      <c r="A16" s="219" t="s">
        <v>122</v>
      </c>
      <c r="B16" s="220"/>
      <c r="C16" s="220"/>
      <c r="D16" s="208">
        <v>4126</v>
      </c>
      <c r="E16" s="221">
        <v>4312</v>
      </c>
      <c r="F16" s="133"/>
      <c r="G16" s="222" t="s">
        <v>123</v>
      </c>
      <c r="H16" s="133"/>
      <c r="I16" s="208">
        <v>-1210</v>
      </c>
      <c r="J16" s="208">
        <v>513</v>
      </c>
      <c r="K16" s="208">
        <v>-122</v>
      </c>
      <c r="L16" s="209">
        <v>167</v>
      </c>
      <c r="M16" s="210">
        <v>-10</v>
      </c>
      <c r="N16" s="193">
        <f>K16+M16-L16</f>
        <v>-299</v>
      </c>
      <c r="O16" s="133"/>
      <c r="P16" s="186" t="s">
        <v>124</v>
      </c>
      <c r="Q16" s="133"/>
      <c r="R16" s="133"/>
      <c r="S16" s="133"/>
      <c r="T16" s="211">
        <f>-(E14+E15)</f>
        <v>-6285</v>
      </c>
      <c r="U16" s="140"/>
      <c r="V16" s="133"/>
      <c r="W16" s="152" t="s">
        <v>129</v>
      </c>
      <c r="X16" s="411">
        <f>(I8-I9)/I8</f>
        <v>0.44525248386766364</v>
      </c>
      <c r="Y16" s="411">
        <f t="shared" ref="Y16:Z16" si="8">(J8-J9)/J8</f>
        <v>0.48247535596933189</v>
      </c>
      <c r="Z16" s="411">
        <f t="shared" si="8"/>
        <v>0.4492606245498072</v>
      </c>
      <c r="AA16" s="412">
        <f>Z16</f>
        <v>0.4492606245498072</v>
      </c>
      <c r="AB16" s="133"/>
      <c r="AC16" s="133"/>
      <c r="AD16" s="133"/>
      <c r="AE16" s="148"/>
    </row>
    <row r="17" spans="1:31">
      <c r="A17" s="219" t="s">
        <v>126</v>
      </c>
      <c r="B17" s="223"/>
      <c r="C17" s="223"/>
      <c r="D17" s="215">
        <f>3771+2+1265</f>
        <v>5038</v>
      </c>
      <c r="E17" s="224">
        <f>4567+2+1339</f>
        <v>5908</v>
      </c>
      <c r="F17" s="133"/>
      <c r="G17" s="222" t="s">
        <v>127</v>
      </c>
      <c r="H17" s="133"/>
      <c r="I17" s="208">
        <v>-5</v>
      </c>
      <c r="J17" s="208">
        <v>-6</v>
      </c>
      <c r="K17" s="208">
        <v>-14</v>
      </c>
      <c r="L17" s="209">
        <v>-7</v>
      </c>
      <c r="M17" s="210">
        <v>-7</v>
      </c>
      <c r="N17" s="225">
        <f>K17+M17-L17</f>
        <v>-14</v>
      </c>
      <c r="O17" s="133"/>
      <c r="P17" s="194" t="s">
        <v>128</v>
      </c>
      <c r="Q17" s="133"/>
      <c r="R17" s="133"/>
      <c r="S17" s="133"/>
      <c r="T17" s="226">
        <f>SUM(T11:T16)</f>
        <v>188636.55591199998</v>
      </c>
      <c r="U17" s="140"/>
      <c r="V17" s="133"/>
      <c r="W17" s="152" t="s">
        <v>132</v>
      </c>
      <c r="X17" s="411">
        <f>I11/I8</f>
        <v>0.30502919184676841</v>
      </c>
      <c r="Y17" s="411">
        <f t="shared" ref="Y17:Z17" si="9">J11/J8</f>
        <v>0.26049653158086894</v>
      </c>
      <c r="Z17" s="411">
        <f t="shared" si="9"/>
        <v>0.39570357188254734</v>
      </c>
      <c r="AA17" s="412">
        <f t="shared" ref="AA17:AA18" si="10">Z17</f>
        <v>0.39570357188254734</v>
      </c>
      <c r="AB17" s="133"/>
      <c r="AC17" s="133"/>
      <c r="AD17" s="133"/>
      <c r="AE17" s="148"/>
    </row>
    <row r="18" spans="1:31">
      <c r="A18" s="227" t="s">
        <v>130</v>
      </c>
      <c r="B18" s="220"/>
      <c r="C18" s="220"/>
      <c r="D18" s="228">
        <f>SUM(D14:D17)</f>
        <v>15019</v>
      </c>
      <c r="E18" s="229">
        <f>SUM(E14:E17)</f>
        <v>16505</v>
      </c>
      <c r="F18" s="133"/>
      <c r="G18" s="222" t="s">
        <v>131</v>
      </c>
      <c r="H18" s="133"/>
      <c r="I18" s="215">
        <v>0</v>
      </c>
      <c r="J18" s="215">
        <v>0</v>
      </c>
      <c r="K18" s="215">
        <v>0</v>
      </c>
      <c r="L18" s="216">
        <v>0</v>
      </c>
      <c r="M18" s="217">
        <v>0</v>
      </c>
      <c r="N18" s="225">
        <f>K18+M18-L18</f>
        <v>0</v>
      </c>
      <c r="O18" s="133"/>
      <c r="P18" s="180"/>
      <c r="Q18" s="181"/>
      <c r="R18" s="181"/>
      <c r="S18" s="181"/>
      <c r="T18" s="230"/>
      <c r="U18" s="140"/>
      <c r="V18" s="133"/>
      <c r="W18" s="152" t="s">
        <v>134</v>
      </c>
      <c r="X18" s="411">
        <f>I44/I8</f>
        <v>0.20024582607804978</v>
      </c>
      <c r="Y18" s="411">
        <f t="shared" ref="Y18:Z18" si="11">J44/J8</f>
        <v>0.26980649872216139</v>
      </c>
      <c r="Z18" s="411">
        <f t="shared" si="11"/>
        <v>0.27621710944451505</v>
      </c>
      <c r="AA18" s="412">
        <f t="shared" si="10"/>
        <v>0.27621710944451505</v>
      </c>
      <c r="AB18" s="133"/>
      <c r="AC18" s="133"/>
      <c r="AD18" s="133"/>
      <c r="AE18" s="148"/>
    </row>
    <row r="19" spans="1:31" ht="15.75" thickBot="1">
      <c r="A19" s="204"/>
      <c r="B19" s="205"/>
      <c r="C19" s="205"/>
      <c r="D19" s="205"/>
      <c r="E19" s="231"/>
      <c r="F19" s="133"/>
      <c r="G19" s="182" t="s">
        <v>133</v>
      </c>
      <c r="H19" s="133"/>
      <c r="I19" s="232">
        <f t="shared" ref="I19:N19" si="12">I15-SUM(I16:I18)</f>
        <v>2490</v>
      </c>
      <c r="J19" s="232">
        <f t="shared" si="12"/>
        <v>3162</v>
      </c>
      <c r="K19" s="232">
        <f t="shared" si="12"/>
        <v>1320</v>
      </c>
      <c r="L19" s="233">
        <f t="shared" si="12"/>
        <v>1233</v>
      </c>
      <c r="M19" s="234">
        <f t="shared" si="12"/>
        <v>-112</v>
      </c>
      <c r="N19" s="235">
        <f t="shared" si="12"/>
        <v>-25</v>
      </c>
      <c r="O19" s="133"/>
      <c r="P19" s="133"/>
      <c r="Q19" s="133"/>
      <c r="R19" s="133"/>
      <c r="S19" s="133"/>
      <c r="T19" s="133"/>
      <c r="U19" s="140"/>
      <c r="V19" s="133"/>
      <c r="W19" s="152"/>
      <c r="X19" s="133"/>
      <c r="Y19" s="133"/>
      <c r="Z19" s="133"/>
      <c r="AA19" s="133"/>
      <c r="AB19" s="133"/>
      <c r="AC19" s="133"/>
      <c r="AD19" s="133"/>
      <c r="AE19" s="148"/>
    </row>
    <row r="20" spans="1:31" ht="15.75" thickTop="1">
      <c r="A20" s="219" t="s">
        <v>135</v>
      </c>
      <c r="B20" s="236"/>
      <c r="C20" s="236"/>
      <c r="D20" s="208">
        <v>1513</v>
      </c>
      <c r="E20" s="221">
        <v>1541</v>
      </c>
      <c r="F20" s="133"/>
      <c r="G20" s="237" t="s">
        <v>136</v>
      </c>
      <c r="H20" s="133"/>
      <c r="I20" s="238">
        <f t="shared" ref="I20:N20" si="13">IF(OR(I15&lt;0,ISERROR(I16/I15)),"NA",(I16/I15))</f>
        <v>-0.94901960784313721</v>
      </c>
      <c r="J20" s="238">
        <f t="shared" si="13"/>
        <v>0.13982011447260834</v>
      </c>
      <c r="K20" s="239">
        <f t="shared" si="13"/>
        <v>-0.10304054054054054</v>
      </c>
      <c r="L20" s="238">
        <f t="shared" si="13"/>
        <v>0.1198851399856425</v>
      </c>
      <c r="M20" s="239" t="str">
        <f t="shared" si="13"/>
        <v>NA</v>
      </c>
      <c r="N20" s="240" t="str">
        <f t="shared" si="13"/>
        <v>NA</v>
      </c>
      <c r="O20" s="133"/>
      <c r="P20" s="137" t="s">
        <v>137</v>
      </c>
      <c r="Q20" s="138"/>
      <c r="R20" s="138"/>
      <c r="S20" s="138"/>
      <c r="T20" s="139"/>
      <c r="U20" s="140"/>
      <c r="V20" s="133"/>
      <c r="W20" s="152"/>
      <c r="X20" s="133"/>
      <c r="Y20" s="133"/>
      <c r="Z20" s="133"/>
      <c r="AA20" s="133"/>
      <c r="AB20" s="133"/>
      <c r="AC20" s="133"/>
      <c r="AD20" s="133"/>
      <c r="AE20" s="148"/>
    </row>
    <row r="21" spans="1:31">
      <c r="A21" s="219" t="s">
        <v>138</v>
      </c>
      <c r="B21" s="220"/>
      <c r="C21" s="220"/>
      <c r="D21" s="208">
        <f>24177+24118</f>
        <v>48295</v>
      </c>
      <c r="E21" s="241">
        <f>24177+22598</f>
        <v>46775</v>
      </c>
      <c r="F21" s="133"/>
      <c r="G21" s="152" t="s">
        <v>139</v>
      </c>
      <c r="H21" s="133"/>
      <c r="I21" s="208">
        <v>1207</v>
      </c>
      <c r="J21" s="208">
        <v>1229</v>
      </c>
      <c r="K21" s="208">
        <v>1571</v>
      </c>
      <c r="L21" s="209">
        <v>1521</v>
      </c>
      <c r="M21" s="210">
        <v>1612</v>
      </c>
      <c r="N21" s="193">
        <f>+IF(ISERROR(K21+M21-L21),"NA",K21+M21-L21)</f>
        <v>1662</v>
      </c>
      <c r="O21" s="133"/>
      <c r="P21" s="242" t="s">
        <v>140</v>
      </c>
      <c r="Q21" s="243"/>
      <c r="R21" s="243"/>
      <c r="S21" s="243"/>
      <c r="T21" s="221">
        <v>1610.36187</v>
      </c>
      <c r="U21" s="140"/>
      <c r="V21" s="133"/>
      <c r="W21" s="152"/>
      <c r="X21" s="133"/>
      <c r="Y21" s="133"/>
      <c r="Z21" s="133"/>
      <c r="AA21" s="133"/>
      <c r="AB21" s="133"/>
      <c r="AC21" s="133"/>
      <c r="AD21" s="133"/>
      <c r="AE21" s="148"/>
    </row>
    <row r="22" spans="1:31">
      <c r="A22" s="219" t="s">
        <v>141</v>
      </c>
      <c r="B22" s="236"/>
      <c r="C22" s="236"/>
      <c r="D22" s="215">
        <f>460+83+58+2152</f>
        <v>2753</v>
      </c>
      <c r="E22" s="244">
        <f>461+90+68+2527</f>
        <v>3146</v>
      </c>
      <c r="F22" s="133"/>
      <c r="G22" s="245" t="s">
        <v>142</v>
      </c>
      <c r="H22" s="246"/>
      <c r="I22" s="247">
        <f>IF(ISERROR(I19/I21),"NA",I19/I21)</f>
        <v>2.0629660314830156</v>
      </c>
      <c r="J22" s="247">
        <f>+IF(ISERROR(J19/J21),"NA",J19/J21)</f>
        <v>2.5728234336859237</v>
      </c>
      <c r="K22" s="247">
        <f>+IF(ISERROR(K19/K21),"NA",K19/K21)</f>
        <v>0.84022915340547422</v>
      </c>
      <c r="L22" s="248">
        <f>+IF(ISERROR(L19/L21),"NA",L19/L21)</f>
        <v>0.81065088757396453</v>
      </c>
      <c r="M22" s="249">
        <f>+IF(ISERROR(M19/M21),"NA",M19/M21)</f>
        <v>-6.9478908188585611E-2</v>
      </c>
      <c r="N22" s="250">
        <f>+IF(ISERROR(K22+M22-L22),"NA",K22+M22-L22)</f>
        <v>-3.9900642357075911E-2</v>
      </c>
      <c r="O22" s="133"/>
      <c r="P22" s="242" t="s">
        <v>143</v>
      </c>
      <c r="Q22" s="243"/>
      <c r="R22" s="243"/>
      <c r="S22" s="243"/>
      <c r="T22" s="211">
        <f>+S37</f>
        <v>4</v>
      </c>
      <c r="U22" s="140"/>
      <c r="V22" s="133"/>
      <c r="W22" s="152"/>
      <c r="X22" s="133"/>
      <c r="Y22" s="133"/>
      <c r="Z22" s="133"/>
      <c r="AA22" s="133"/>
      <c r="AB22" s="133"/>
      <c r="AC22" s="133"/>
      <c r="AD22" s="133"/>
      <c r="AE22" s="148"/>
    </row>
    <row r="23" spans="1:31">
      <c r="A23" s="227" t="s">
        <v>144</v>
      </c>
      <c r="B23" s="220"/>
      <c r="C23" s="220"/>
      <c r="D23" s="251">
        <f>SUM(D18:D22)</f>
        <v>67580</v>
      </c>
      <c r="E23" s="252">
        <f>SUM(E18:E22)</f>
        <v>67967</v>
      </c>
      <c r="F23" s="133"/>
      <c r="G23" s="253"/>
      <c r="H23" s="181"/>
      <c r="I23" s="181"/>
      <c r="J23" s="181"/>
      <c r="K23" s="181"/>
      <c r="L23" s="181"/>
      <c r="M23" s="181"/>
      <c r="N23" s="254"/>
      <c r="O23" s="133"/>
      <c r="P23" s="242" t="s">
        <v>145</v>
      </c>
      <c r="Q23" s="243"/>
      <c r="R23" s="243"/>
      <c r="S23" s="243"/>
      <c r="T23" s="211">
        <f>IF(ISERROR(-T37/T5),0,-T37/T5)</f>
        <v>-1.4404761904761907</v>
      </c>
      <c r="U23" s="140"/>
      <c r="V23" s="133"/>
      <c r="W23" s="152"/>
      <c r="X23" s="133"/>
      <c r="Y23" s="133"/>
      <c r="Z23" s="133"/>
      <c r="AA23" s="133"/>
      <c r="AB23" s="133"/>
      <c r="AC23" s="133"/>
      <c r="AD23" s="133"/>
      <c r="AE23" s="148"/>
    </row>
    <row r="24" spans="1:31">
      <c r="A24" s="204"/>
      <c r="B24" s="205"/>
      <c r="C24" s="205"/>
      <c r="D24" s="205"/>
      <c r="E24" s="231"/>
      <c r="F24" s="133"/>
      <c r="G24" s="137" t="s">
        <v>146</v>
      </c>
      <c r="H24" s="138"/>
      <c r="I24" s="138"/>
      <c r="J24" s="138"/>
      <c r="K24" s="139"/>
      <c r="L24" s="137"/>
      <c r="M24" s="138"/>
      <c r="N24" s="138"/>
      <c r="O24" s="133"/>
      <c r="P24" s="255" t="s">
        <v>147</v>
      </c>
      <c r="Q24" s="256"/>
      <c r="R24" s="256"/>
      <c r="S24" s="256"/>
      <c r="T24" s="257">
        <f>IF(ISERROR(T22+T23),0,T22+T23)</f>
        <v>2.5595238095238093</v>
      </c>
      <c r="U24" s="140"/>
      <c r="V24" s="133"/>
      <c r="W24" s="152"/>
      <c r="X24" s="133"/>
      <c r="Y24" s="133"/>
      <c r="Z24" s="133"/>
      <c r="AA24" s="133"/>
      <c r="AB24" s="133"/>
      <c r="AC24" s="133"/>
      <c r="AD24" s="133"/>
      <c r="AE24" s="148"/>
    </row>
    <row r="25" spans="1:31">
      <c r="A25" s="258" t="s">
        <v>148</v>
      </c>
      <c r="B25" s="236"/>
      <c r="C25" s="236"/>
      <c r="D25" s="259">
        <v>6369</v>
      </c>
      <c r="E25" s="260">
        <v>7572</v>
      </c>
      <c r="F25" s="261"/>
      <c r="G25" s="152"/>
      <c r="H25" s="133"/>
      <c r="I25" s="147"/>
      <c r="J25" s="147"/>
      <c r="K25" s="133"/>
      <c r="L25" s="32" t="s">
        <v>88</v>
      </c>
      <c r="M25" s="32" t="s">
        <v>89</v>
      </c>
      <c r="N25" s="148"/>
      <c r="O25" s="133"/>
      <c r="P25" s="186" t="s">
        <v>149</v>
      </c>
      <c r="Q25" s="243"/>
      <c r="R25" s="243"/>
      <c r="S25" s="243"/>
      <c r="T25" s="262">
        <f>+T44</f>
        <v>0</v>
      </c>
      <c r="U25" s="140"/>
      <c r="V25" s="133"/>
      <c r="W25" s="152"/>
      <c r="X25" s="133"/>
      <c r="Y25" s="133"/>
      <c r="Z25" s="133"/>
      <c r="AA25" s="133"/>
      <c r="AB25" s="133"/>
      <c r="AC25" s="133"/>
      <c r="AD25" s="133"/>
      <c r="AE25" s="148"/>
    </row>
    <row r="26" spans="1:31">
      <c r="A26" s="258" t="s">
        <v>150</v>
      </c>
      <c r="B26" s="220"/>
      <c r="C26" s="220"/>
      <c r="D26" s="208">
        <v>2467</v>
      </c>
      <c r="E26" s="221">
        <v>1714</v>
      </c>
      <c r="F26" s="133"/>
      <c r="G26" s="152"/>
      <c r="H26" s="133"/>
      <c r="I26" s="154" t="str">
        <f>"Fiscal Year Ending "&amp;TEXT($E$8,"mmmm d")&amp;","</f>
        <v>Fiscal Year Ending December 31,</v>
      </c>
      <c r="J26" s="154"/>
      <c r="K26" s="154"/>
      <c r="L26" s="32" t="s">
        <v>91</v>
      </c>
      <c r="M26" s="32" t="s">
        <v>91</v>
      </c>
      <c r="N26" s="155" t="s">
        <v>16</v>
      </c>
      <c r="O26" s="133"/>
      <c r="P26" s="186" t="s">
        <v>151</v>
      </c>
      <c r="Q26" s="243"/>
      <c r="R26" s="243"/>
      <c r="S26" s="243"/>
      <c r="T26" s="224">
        <f>28+2</f>
        <v>30</v>
      </c>
      <c r="U26" s="140"/>
      <c r="V26" s="133"/>
      <c r="W26" s="152"/>
      <c r="X26" s="133"/>
      <c r="Y26" s="133"/>
      <c r="Z26" s="133"/>
      <c r="AA26" s="133"/>
      <c r="AB26" s="133"/>
      <c r="AC26" s="133"/>
      <c r="AD26" s="133"/>
      <c r="AE26" s="148"/>
    </row>
    <row r="27" spans="1:31">
      <c r="A27" s="258" t="s">
        <v>152</v>
      </c>
      <c r="B27" s="263"/>
      <c r="C27" s="263"/>
      <c r="D27" s="215">
        <f>396+1934+1664</f>
        <v>3994</v>
      </c>
      <c r="E27" s="244">
        <f>393+1365+1787</f>
        <v>3545</v>
      </c>
      <c r="F27" s="133"/>
      <c r="G27" s="264"/>
      <c r="H27" s="134"/>
      <c r="I27" s="161">
        <f t="shared" ref="I27:N27" si="14">+I7</f>
        <v>44196</v>
      </c>
      <c r="J27" s="161">
        <f t="shared" si="14"/>
        <v>44561</v>
      </c>
      <c r="K27" s="161">
        <f t="shared" si="14"/>
        <v>44926</v>
      </c>
      <c r="L27" s="162">
        <f t="shared" si="14"/>
        <v>44737</v>
      </c>
      <c r="M27" s="163">
        <f t="shared" si="14"/>
        <v>45108</v>
      </c>
      <c r="N27" s="164">
        <f t="shared" si="14"/>
        <v>45108</v>
      </c>
      <c r="O27" s="151"/>
      <c r="P27" s="255" t="s">
        <v>153</v>
      </c>
      <c r="Q27" s="243"/>
      <c r="R27" s="243"/>
      <c r="S27" s="243"/>
      <c r="T27" s="265">
        <f>T21+SUM(T24:T26)</f>
        <v>1642.9213938095238</v>
      </c>
      <c r="U27" s="140"/>
      <c r="V27" s="133"/>
      <c r="W27" s="152"/>
      <c r="X27" s="133"/>
      <c r="Y27" s="133"/>
      <c r="Z27" s="133"/>
      <c r="AA27" s="133"/>
      <c r="AB27" s="133"/>
      <c r="AC27" s="133"/>
      <c r="AD27" s="133"/>
      <c r="AE27" s="148"/>
    </row>
    <row r="28" spans="1:31">
      <c r="A28" s="227" t="s">
        <v>154</v>
      </c>
      <c r="B28" s="205"/>
      <c r="C28" s="205"/>
      <c r="D28" s="228">
        <f>D25+SUM(D26:D27)</f>
        <v>12830</v>
      </c>
      <c r="E28" s="229">
        <f>E25+SUM(E26:E27)</f>
        <v>12831</v>
      </c>
      <c r="F28" s="151"/>
      <c r="G28" s="152" t="s">
        <v>155</v>
      </c>
      <c r="H28" s="133"/>
      <c r="I28" s="266">
        <f t="shared" ref="I28:N28" si="15">I10</f>
        <v>4347</v>
      </c>
      <c r="J28" s="266">
        <f t="shared" si="15"/>
        <v>7929</v>
      </c>
      <c r="K28" s="266">
        <f t="shared" si="15"/>
        <v>10603</v>
      </c>
      <c r="L28" s="267">
        <f t="shared" si="15"/>
        <v>5846</v>
      </c>
      <c r="M28" s="268">
        <f t="shared" si="15"/>
        <v>4802</v>
      </c>
      <c r="N28" s="269">
        <f t="shared" si="15"/>
        <v>9559</v>
      </c>
      <c r="O28" s="133"/>
      <c r="P28" s="144"/>
      <c r="Q28" s="133"/>
      <c r="R28" s="133"/>
      <c r="S28" s="133"/>
      <c r="T28" s="201"/>
      <c r="U28" s="133"/>
      <c r="V28" s="133"/>
      <c r="W28" s="152"/>
      <c r="X28" s="133"/>
      <c r="Y28" s="133"/>
      <c r="Z28" s="133"/>
      <c r="AA28" s="133"/>
      <c r="AB28" s="133"/>
      <c r="AC28" s="133"/>
      <c r="AD28" s="133"/>
      <c r="AE28" s="148"/>
    </row>
    <row r="29" spans="1:31">
      <c r="A29" s="204"/>
      <c r="B29" s="205"/>
      <c r="C29" s="205"/>
      <c r="D29" s="270"/>
      <c r="E29" s="271"/>
      <c r="F29" s="151"/>
      <c r="G29" s="152" t="s">
        <v>156</v>
      </c>
      <c r="H29" s="133"/>
      <c r="I29" s="215">
        <v>0</v>
      </c>
      <c r="J29" s="215">
        <v>0</v>
      </c>
      <c r="K29" s="215">
        <v>0</v>
      </c>
      <c r="L29" s="216">
        <v>0</v>
      </c>
      <c r="M29" s="217">
        <v>0</v>
      </c>
      <c r="N29" s="178">
        <f>K29+M29-L29</f>
        <v>0</v>
      </c>
      <c r="O29" s="272"/>
      <c r="P29" s="273" t="s">
        <v>157</v>
      </c>
      <c r="Q29" s="274"/>
      <c r="R29" s="274"/>
      <c r="S29" s="274"/>
      <c r="T29" s="275"/>
      <c r="U29" s="140"/>
      <c r="V29" s="133"/>
      <c r="W29" s="152"/>
      <c r="X29" s="133"/>
      <c r="Y29" s="133"/>
      <c r="Z29" s="133"/>
      <c r="AA29" s="133"/>
      <c r="AB29" s="133"/>
      <c r="AC29" s="133"/>
      <c r="AD29" s="133"/>
      <c r="AE29" s="148"/>
    </row>
    <row r="30" spans="1:31">
      <c r="A30" s="276" t="s">
        <v>127</v>
      </c>
      <c r="B30" s="277"/>
      <c r="C30" s="277"/>
      <c r="D30" s="208">
        <v>0</v>
      </c>
      <c r="E30" s="241">
        <v>0</v>
      </c>
      <c r="F30" s="133"/>
      <c r="G30" s="182" t="s">
        <v>158</v>
      </c>
      <c r="H30" s="133"/>
      <c r="I30" s="183">
        <f t="shared" ref="I30:N30" si="16">SUM(I28:I29)</f>
        <v>4347</v>
      </c>
      <c r="J30" s="183">
        <f t="shared" si="16"/>
        <v>7929</v>
      </c>
      <c r="K30" s="183">
        <f t="shared" si="16"/>
        <v>10603</v>
      </c>
      <c r="L30" s="184">
        <f t="shared" si="16"/>
        <v>5846</v>
      </c>
      <c r="M30" s="185">
        <f t="shared" si="16"/>
        <v>4802</v>
      </c>
      <c r="N30" s="173">
        <f t="shared" si="16"/>
        <v>9559</v>
      </c>
      <c r="O30" s="133"/>
      <c r="P30" s="278"/>
      <c r="Q30" s="32" t="s">
        <v>159</v>
      </c>
      <c r="R30" s="32" t="s">
        <v>160</v>
      </c>
      <c r="S30" s="32" t="s">
        <v>161</v>
      </c>
      <c r="T30" s="279"/>
      <c r="U30" s="280"/>
      <c r="V30" s="133"/>
      <c r="W30" s="152"/>
      <c r="X30" s="133"/>
      <c r="Y30" s="133"/>
      <c r="Z30" s="133"/>
      <c r="AA30" s="133"/>
      <c r="AB30" s="133"/>
      <c r="AC30" s="133"/>
      <c r="AD30" s="133"/>
      <c r="AE30" s="148"/>
    </row>
    <row r="31" spans="1:31">
      <c r="A31" s="258" t="s">
        <v>162</v>
      </c>
      <c r="B31" s="223"/>
      <c r="C31" s="223"/>
      <c r="D31" s="208">
        <v>0</v>
      </c>
      <c r="E31" s="241">
        <v>0</v>
      </c>
      <c r="F31" s="133"/>
      <c r="G31" s="281" t="s">
        <v>163</v>
      </c>
      <c r="H31" s="157"/>
      <c r="I31" s="282">
        <f t="shared" ref="I31:N31" si="17">IF(ISERROR(I30/I8),"NA",I30/I8)</f>
        <v>0.44525248386766364</v>
      </c>
      <c r="J31" s="282">
        <f t="shared" si="17"/>
        <v>0.48247535596933189</v>
      </c>
      <c r="K31" s="282">
        <f t="shared" si="17"/>
        <v>0.4492606245498072</v>
      </c>
      <c r="L31" s="283">
        <f t="shared" si="17"/>
        <v>0.47004904719787732</v>
      </c>
      <c r="M31" s="284">
        <f t="shared" si="17"/>
        <v>0.4482823002240478</v>
      </c>
      <c r="N31" s="285">
        <f t="shared" si="17"/>
        <v>0.43696288169683672</v>
      </c>
      <c r="O31" s="133"/>
      <c r="P31" s="286" t="s">
        <v>164</v>
      </c>
      <c r="Q31" s="287" t="s">
        <v>165</v>
      </c>
      <c r="R31" s="287" t="s">
        <v>24</v>
      </c>
      <c r="S31" s="287" t="s">
        <v>165</v>
      </c>
      <c r="T31" s="288" t="s">
        <v>166</v>
      </c>
      <c r="U31" s="140"/>
      <c r="V31" s="133"/>
      <c r="W31" s="152"/>
      <c r="X31" s="133"/>
      <c r="Y31" s="133"/>
      <c r="Z31" s="133"/>
      <c r="AA31" s="133"/>
      <c r="AB31" s="133"/>
      <c r="AC31" s="133"/>
      <c r="AD31" s="133"/>
      <c r="AE31" s="148"/>
    </row>
    <row r="32" spans="1:31">
      <c r="A32" s="258" t="s">
        <v>167</v>
      </c>
      <c r="B32" s="289"/>
      <c r="C32" s="289"/>
      <c r="D32" s="215">
        <v>54750</v>
      </c>
      <c r="E32" s="244">
        <v>55136</v>
      </c>
      <c r="F32" s="133"/>
      <c r="G32" s="152"/>
      <c r="H32" s="133"/>
      <c r="I32" s="133"/>
      <c r="J32" s="133"/>
      <c r="K32" s="290"/>
      <c r="L32" s="291"/>
      <c r="M32" s="292"/>
      <c r="N32" s="293"/>
      <c r="O32" s="133"/>
      <c r="P32" s="43" t="s">
        <v>168</v>
      </c>
      <c r="Q32" s="294">
        <v>4</v>
      </c>
      <c r="R32" s="295">
        <v>42.35</v>
      </c>
      <c r="S32" s="296">
        <f>+IF(R32&lt;$T$5,Q32,0)</f>
        <v>4</v>
      </c>
      <c r="T32" s="297">
        <f>IF(S32="NA","NA",S32*R32)</f>
        <v>169.4</v>
      </c>
      <c r="U32" s="140"/>
      <c r="V32" s="133"/>
      <c r="W32" s="152"/>
      <c r="X32" s="133"/>
      <c r="Y32" s="133"/>
      <c r="Z32" s="133"/>
      <c r="AA32" s="133"/>
      <c r="AB32" s="133"/>
      <c r="AC32" s="133"/>
      <c r="AD32" s="133"/>
      <c r="AE32" s="148"/>
    </row>
    <row r="33" spans="1:31">
      <c r="A33" s="227" t="s">
        <v>169</v>
      </c>
      <c r="B33" s="289"/>
      <c r="C33" s="289"/>
      <c r="D33" s="251">
        <f>D28+SUM(D30:D32)</f>
        <v>67580</v>
      </c>
      <c r="E33" s="252">
        <f>E28+SUM(E30:E32)</f>
        <v>67967</v>
      </c>
      <c r="F33" s="133"/>
      <c r="G33" s="152" t="s">
        <v>170</v>
      </c>
      <c r="H33" s="133"/>
      <c r="I33" s="266">
        <f t="shared" ref="I33:N33" si="18">I12</f>
        <v>1369</v>
      </c>
      <c r="J33" s="266">
        <f t="shared" si="18"/>
        <v>3648</v>
      </c>
      <c r="K33" s="266">
        <f t="shared" si="18"/>
        <v>1264</v>
      </c>
      <c r="L33" s="267">
        <f t="shared" si="18"/>
        <v>1477</v>
      </c>
      <c r="M33" s="268">
        <f t="shared" si="18"/>
        <v>-165</v>
      </c>
      <c r="N33" s="269">
        <f t="shared" si="18"/>
        <v>-378</v>
      </c>
      <c r="O33" s="133"/>
      <c r="P33" s="43" t="s">
        <v>171</v>
      </c>
      <c r="Q33" s="294">
        <v>0</v>
      </c>
      <c r="R33" s="298">
        <v>0</v>
      </c>
      <c r="S33" s="296">
        <f>+IF(R33&lt;$T$5,Q33,0)</f>
        <v>0</v>
      </c>
      <c r="T33" s="299">
        <f>IF(S33="NA","NA",S33*R33)</f>
        <v>0</v>
      </c>
      <c r="U33" s="140"/>
      <c r="V33" s="133"/>
      <c r="W33" s="152"/>
      <c r="X33" s="133"/>
      <c r="Y33" s="133"/>
      <c r="Z33" s="133"/>
      <c r="AA33" s="133"/>
      <c r="AB33" s="133"/>
      <c r="AC33" s="133"/>
      <c r="AD33" s="133"/>
      <c r="AE33" s="148"/>
    </row>
    <row r="34" spans="1:31">
      <c r="A34" s="204"/>
      <c r="B34" s="205"/>
      <c r="C34" s="205"/>
      <c r="D34" s="205"/>
      <c r="E34" s="231"/>
      <c r="F34" s="151"/>
      <c r="G34" s="152" t="s">
        <v>172</v>
      </c>
      <c r="H34" s="133"/>
      <c r="I34" s="208">
        <v>0</v>
      </c>
      <c r="J34" s="208">
        <v>0</v>
      </c>
      <c r="K34" s="208">
        <v>0</v>
      </c>
      <c r="L34" s="209">
        <v>0</v>
      </c>
      <c r="M34" s="210">
        <v>0</v>
      </c>
      <c r="N34" s="225">
        <f t="shared" ref="N34" si="19">N29</f>
        <v>0</v>
      </c>
      <c r="O34" s="133"/>
      <c r="P34" s="43" t="s">
        <v>173</v>
      </c>
      <c r="Q34" s="294">
        <v>0</v>
      </c>
      <c r="R34" s="298">
        <v>0</v>
      </c>
      <c r="S34" s="296">
        <f>+IF(R34&lt;$T$5,Q34,0)</f>
        <v>0</v>
      </c>
      <c r="T34" s="300">
        <f>IF(S34="NA","NA",S34*R34)</f>
        <v>0</v>
      </c>
      <c r="U34" s="140"/>
      <c r="V34" s="133"/>
      <c r="W34" s="152"/>
      <c r="X34" s="133"/>
      <c r="Y34" s="133"/>
      <c r="Z34" s="133"/>
      <c r="AA34" s="133"/>
      <c r="AB34" s="133"/>
      <c r="AC34" s="133"/>
      <c r="AD34" s="133"/>
      <c r="AE34" s="148"/>
    </row>
    <row r="35" spans="1:31">
      <c r="A35" s="301" t="s">
        <v>174</v>
      </c>
      <c r="B35" s="302"/>
      <c r="C35" s="302"/>
      <c r="D35" s="303">
        <f>D23-D33</f>
        <v>0</v>
      </c>
      <c r="E35" s="304">
        <f>E23-E33</f>
        <v>0</v>
      </c>
      <c r="F35" s="133"/>
      <c r="G35" s="152" t="s">
        <v>175</v>
      </c>
      <c r="H35" s="133"/>
      <c r="I35" s="208">
        <v>0</v>
      </c>
      <c r="J35" s="208">
        <v>0</v>
      </c>
      <c r="K35" s="208">
        <v>0</v>
      </c>
      <c r="L35" s="209">
        <v>0</v>
      </c>
      <c r="M35" s="210">
        <v>0</v>
      </c>
      <c r="N35" s="225">
        <f>K35+M35-L35</f>
        <v>0</v>
      </c>
      <c r="O35" s="272"/>
      <c r="P35" s="43" t="s">
        <v>176</v>
      </c>
      <c r="Q35" s="294">
        <v>0</v>
      </c>
      <c r="R35" s="298">
        <v>0</v>
      </c>
      <c r="S35" s="296">
        <f>+IF(R35&lt;$T$5,Q35,0)</f>
        <v>0</v>
      </c>
      <c r="T35" s="300">
        <f>IF(S35="NA","NA",S35*R35)</f>
        <v>0</v>
      </c>
      <c r="U35" s="140"/>
      <c r="V35" s="133"/>
      <c r="W35" s="152"/>
      <c r="X35" s="133"/>
      <c r="Y35" s="133"/>
      <c r="Z35" s="133"/>
      <c r="AA35" s="133"/>
      <c r="AB35" s="133"/>
      <c r="AC35" s="133"/>
      <c r="AD35" s="133"/>
      <c r="AE35" s="148"/>
    </row>
    <row r="36" spans="1:31">
      <c r="A36" s="133"/>
      <c r="B36" s="133"/>
      <c r="C36" s="133"/>
      <c r="D36" s="133"/>
      <c r="E36" s="133"/>
      <c r="F36" s="151"/>
      <c r="G36" s="152" t="s">
        <v>177</v>
      </c>
      <c r="H36" s="133"/>
      <c r="I36" s="208">
        <v>0</v>
      </c>
      <c r="J36" s="208">
        <v>0</v>
      </c>
      <c r="K36" s="208">
        <v>0</v>
      </c>
      <c r="L36" s="209">
        <v>0</v>
      </c>
      <c r="M36" s="210">
        <v>0</v>
      </c>
      <c r="N36" s="305">
        <f>K36+M36-L36</f>
        <v>0</v>
      </c>
      <c r="O36" s="306"/>
      <c r="P36" s="43" t="s">
        <v>178</v>
      </c>
      <c r="Q36" s="307">
        <v>0</v>
      </c>
      <c r="R36" s="308">
        <v>0</v>
      </c>
      <c r="S36" s="309">
        <f>+IF(R36&lt;$T$5,Q36,0)</f>
        <v>0</v>
      </c>
      <c r="T36" s="310">
        <f>IF(S36="NA","NA",S36*R36)</f>
        <v>0</v>
      </c>
      <c r="U36" s="140"/>
      <c r="V36" s="133"/>
      <c r="W36" s="152"/>
      <c r="X36" s="133"/>
      <c r="Y36" s="133"/>
      <c r="Z36" s="133"/>
      <c r="AA36" s="133"/>
      <c r="AB36" s="133"/>
      <c r="AC36" s="133"/>
      <c r="AD36" s="133"/>
      <c r="AE36" s="148"/>
    </row>
    <row r="37" spans="1:31">
      <c r="A37" s="137" t="s">
        <v>179</v>
      </c>
      <c r="B37" s="138"/>
      <c r="C37" s="138"/>
      <c r="D37" s="138"/>
      <c r="E37" s="139"/>
      <c r="F37" s="133"/>
      <c r="G37" s="152" t="s">
        <v>180</v>
      </c>
      <c r="H37" s="133"/>
      <c r="I37" s="311">
        <f t="shared" ref="I37:N37" si="20">+I72</f>
        <v>274</v>
      </c>
      <c r="J37" s="311">
        <f t="shared" si="20"/>
        <v>379</v>
      </c>
      <c r="K37" s="311">
        <f t="shared" si="20"/>
        <v>1081</v>
      </c>
      <c r="L37" s="312">
        <f t="shared" si="20"/>
        <v>491</v>
      </c>
      <c r="M37" s="313">
        <f t="shared" si="20"/>
        <v>657</v>
      </c>
      <c r="N37" s="314">
        <f t="shared" si="20"/>
        <v>1247</v>
      </c>
      <c r="O37" s="147"/>
      <c r="P37" s="315" t="s">
        <v>181</v>
      </c>
      <c r="Q37" s="316">
        <f>SUM(Q32:Q36)</f>
        <v>4</v>
      </c>
      <c r="R37" s="317"/>
      <c r="S37" s="316">
        <f>SUM(S32:S36)</f>
        <v>4</v>
      </c>
      <c r="T37" s="195">
        <f>SUM(T32:T36)</f>
        <v>169.4</v>
      </c>
      <c r="U37" s="133"/>
      <c r="V37" s="133"/>
      <c r="W37" s="152"/>
      <c r="X37" s="133"/>
      <c r="Y37" s="133"/>
      <c r="Z37" s="133"/>
      <c r="AA37" s="133"/>
      <c r="AB37" s="133"/>
      <c r="AC37" s="133"/>
      <c r="AD37" s="133"/>
      <c r="AE37" s="148"/>
    </row>
    <row r="38" spans="1:31">
      <c r="A38" s="318" t="s">
        <v>182</v>
      </c>
      <c r="B38" s="205"/>
      <c r="C38" s="133"/>
      <c r="D38" s="133"/>
      <c r="E38" s="319">
        <f>EOMONTH(E8,12)</f>
        <v>45291</v>
      </c>
      <c r="F38" s="320"/>
      <c r="G38" s="152" t="s">
        <v>183</v>
      </c>
      <c r="H38" s="133"/>
      <c r="I38" s="215">
        <v>0</v>
      </c>
      <c r="J38" s="215">
        <v>0</v>
      </c>
      <c r="K38" s="215">
        <v>0</v>
      </c>
      <c r="L38" s="216">
        <v>0</v>
      </c>
      <c r="M38" s="217">
        <v>0</v>
      </c>
      <c r="N38" s="321">
        <f>K38+M38-L38</f>
        <v>0</v>
      </c>
      <c r="O38" s="147"/>
      <c r="P38" s="273" t="s">
        <v>184</v>
      </c>
      <c r="Q38" s="274"/>
      <c r="R38" s="274"/>
      <c r="S38" s="274"/>
      <c r="T38" s="275"/>
      <c r="U38" s="133"/>
      <c r="V38" s="133"/>
      <c r="W38" s="152"/>
      <c r="X38" s="133"/>
      <c r="Y38" s="133"/>
      <c r="Z38" s="133"/>
      <c r="AA38" s="133"/>
      <c r="AB38" s="133"/>
      <c r="AC38" s="133"/>
      <c r="AD38" s="133"/>
      <c r="AE38" s="148"/>
    </row>
    <row r="39" spans="1:31">
      <c r="A39" s="318" t="s">
        <v>185</v>
      </c>
      <c r="B39" s="133"/>
      <c r="C39" s="290" t="s">
        <v>186</v>
      </c>
      <c r="D39" s="322" t="s">
        <v>187</v>
      </c>
      <c r="E39" s="241">
        <f>Y6</f>
        <v>36810.504930460906</v>
      </c>
      <c r="F39" s="133"/>
      <c r="G39" s="182" t="s">
        <v>188</v>
      </c>
      <c r="H39" s="133"/>
      <c r="I39" s="183">
        <f>SUM(I33:I38)+I29</f>
        <v>1643</v>
      </c>
      <c r="J39" s="183">
        <f t="shared" ref="J39:N39" si="21">SUM(J33:J38)+J29</f>
        <v>4027</v>
      </c>
      <c r="K39" s="183">
        <f t="shared" si="21"/>
        <v>2345</v>
      </c>
      <c r="L39" s="184">
        <f t="shared" si="21"/>
        <v>1968</v>
      </c>
      <c r="M39" s="185">
        <f t="shared" si="21"/>
        <v>492</v>
      </c>
      <c r="N39" s="173">
        <f t="shared" si="21"/>
        <v>869</v>
      </c>
      <c r="O39" s="147"/>
      <c r="P39" s="323"/>
      <c r="Q39" s="32"/>
      <c r="R39" s="324" t="s">
        <v>189</v>
      </c>
      <c r="S39" s="324" t="s">
        <v>190</v>
      </c>
      <c r="T39" s="325" t="s">
        <v>191</v>
      </c>
      <c r="U39" s="133"/>
      <c r="V39" s="133"/>
      <c r="W39" s="152"/>
      <c r="X39" s="133"/>
      <c r="Y39" s="133"/>
      <c r="Z39" s="133"/>
      <c r="AA39" s="133"/>
      <c r="AB39" s="133"/>
      <c r="AC39" s="133"/>
      <c r="AD39" s="133"/>
      <c r="AE39" s="148"/>
    </row>
    <row r="40" spans="1:31">
      <c r="A40" s="318" t="s">
        <v>192</v>
      </c>
      <c r="B40" s="133"/>
      <c r="C40" s="133"/>
      <c r="D40" s="326" t="s">
        <v>193</v>
      </c>
      <c r="E40" s="241">
        <f>Y11</f>
        <v>6145.4621512691228</v>
      </c>
      <c r="F40" s="133"/>
      <c r="G40" s="281" t="s">
        <v>163</v>
      </c>
      <c r="H40" s="157"/>
      <c r="I40" s="282">
        <f t="shared" ref="I40:N40" si="22">IF(ISERROR(I39/I8),"NA",I39/I8)</f>
        <v>0.16828843593157841</v>
      </c>
      <c r="J40" s="282">
        <f t="shared" si="22"/>
        <v>0.24504076913715467</v>
      </c>
      <c r="K40" s="282">
        <f t="shared" si="22"/>
        <v>9.936019660183891E-2</v>
      </c>
      <c r="L40" s="283">
        <f t="shared" si="22"/>
        <v>0.15823751708611403</v>
      </c>
      <c r="M40" s="284">
        <f t="shared" si="22"/>
        <v>4.5929798356982826E-2</v>
      </c>
      <c r="N40" s="285">
        <f t="shared" si="22"/>
        <v>3.9723898336076063E-2</v>
      </c>
      <c r="O40" s="147"/>
      <c r="P40" s="323"/>
      <c r="Q40" s="287" t="s">
        <v>194</v>
      </c>
      <c r="R40" s="327" t="s">
        <v>24</v>
      </c>
      <c r="S40" s="327" t="s">
        <v>195</v>
      </c>
      <c r="T40" s="328" t="s">
        <v>165</v>
      </c>
      <c r="U40" s="133"/>
      <c r="V40" s="133"/>
      <c r="W40" s="152"/>
      <c r="X40" s="133"/>
      <c r="Y40" s="133"/>
      <c r="Z40" s="133"/>
      <c r="AA40" s="133"/>
      <c r="AB40" s="133"/>
      <c r="AC40" s="133"/>
      <c r="AD40" s="133"/>
      <c r="AE40" s="148"/>
    </row>
    <row r="41" spans="1:31">
      <c r="A41" s="318" t="s">
        <v>196</v>
      </c>
      <c r="B41" s="133"/>
      <c r="C41" s="133"/>
      <c r="D41" s="322"/>
      <c r="E41" s="241">
        <f>Y12</f>
        <v>1971.4621512691228</v>
      </c>
      <c r="F41" s="133"/>
      <c r="G41" s="152"/>
      <c r="H41" s="133"/>
      <c r="I41" s="133"/>
      <c r="J41" s="133"/>
      <c r="K41" s="290"/>
      <c r="L41" s="291"/>
      <c r="M41" s="292"/>
      <c r="N41" s="293"/>
      <c r="O41" s="147"/>
      <c r="P41" s="323" t="s">
        <v>197</v>
      </c>
      <c r="Q41" s="294">
        <v>0</v>
      </c>
      <c r="R41" s="295">
        <v>0</v>
      </c>
      <c r="S41" s="329">
        <f>IF(ISERROR(1000/R41),0,(1000/R41))</f>
        <v>0</v>
      </c>
      <c r="T41" s="300">
        <f>+IF(R41&lt;$T$5,IF(ISERROR(Q41/R41),0,Q41/R41),0)</f>
        <v>0</v>
      </c>
      <c r="U41" s="133"/>
      <c r="V41" s="133"/>
      <c r="W41" s="152"/>
      <c r="X41" s="133"/>
      <c r="Y41" s="133"/>
      <c r="Z41" s="133"/>
      <c r="AA41" s="133"/>
      <c r="AB41" s="133"/>
      <c r="AC41" s="133"/>
      <c r="AD41" s="133"/>
      <c r="AE41" s="148"/>
    </row>
    <row r="42" spans="1:31">
      <c r="A42" s="318" t="s">
        <v>198</v>
      </c>
      <c r="B42" s="133"/>
      <c r="C42" s="133"/>
      <c r="D42" s="326"/>
      <c r="E42" s="330">
        <v>2.76</v>
      </c>
      <c r="F42" s="133"/>
      <c r="G42" s="152" t="s">
        <v>199</v>
      </c>
      <c r="H42" s="133"/>
      <c r="I42" s="311">
        <f t="shared" ref="I42:N42" si="23">+I70</f>
        <v>312</v>
      </c>
      <c r="J42" s="311">
        <f t="shared" si="23"/>
        <v>407</v>
      </c>
      <c r="K42" s="311">
        <f t="shared" si="23"/>
        <v>4174</v>
      </c>
      <c r="L42" s="312">
        <f t="shared" si="23"/>
        <v>1789</v>
      </c>
      <c r="M42" s="313">
        <f t="shared" si="23"/>
        <v>1831</v>
      </c>
      <c r="N42" s="314">
        <f t="shared" si="23"/>
        <v>4216</v>
      </c>
      <c r="O42" s="133"/>
      <c r="P42" s="323" t="s">
        <v>200</v>
      </c>
      <c r="Q42" s="294">
        <v>0</v>
      </c>
      <c r="R42" s="298">
        <v>0</v>
      </c>
      <c r="S42" s="329">
        <f>IF(ISERROR(1000/R42),0,(1000/R42))</f>
        <v>0</v>
      </c>
      <c r="T42" s="300">
        <f>+IF(R42&lt;$T$5,IF(ISERROR(Q42/R42),0,Q42/R42),0)</f>
        <v>0</v>
      </c>
      <c r="U42" s="133"/>
      <c r="V42" s="133"/>
      <c r="W42" s="152"/>
      <c r="X42" s="133"/>
      <c r="Y42" s="133"/>
      <c r="Z42" s="133"/>
      <c r="AA42" s="133"/>
      <c r="AB42" s="133"/>
      <c r="AC42" s="133"/>
      <c r="AD42" s="133"/>
      <c r="AE42" s="148"/>
    </row>
    <row r="43" spans="1:31">
      <c r="A43" s="144"/>
      <c r="B43" s="133"/>
      <c r="C43" s="133"/>
      <c r="D43" s="133"/>
      <c r="E43" s="201"/>
      <c r="F43" s="133"/>
      <c r="G43" s="152" t="s">
        <v>201</v>
      </c>
      <c r="H43" s="133"/>
      <c r="I43" s="215">
        <v>0</v>
      </c>
      <c r="J43" s="215">
        <v>0</v>
      </c>
      <c r="K43" s="215">
        <v>0</v>
      </c>
      <c r="L43" s="216">
        <v>0</v>
      </c>
      <c r="M43" s="217">
        <v>0</v>
      </c>
      <c r="N43" s="331">
        <f>K43+M43-L43</f>
        <v>0</v>
      </c>
      <c r="O43" s="133"/>
      <c r="P43" s="323" t="s">
        <v>202</v>
      </c>
      <c r="Q43" s="294">
        <v>0</v>
      </c>
      <c r="R43" s="298">
        <v>0</v>
      </c>
      <c r="S43" s="329">
        <f>IF(ISERROR(1000/R43),0,(1000/R43))</f>
        <v>0</v>
      </c>
      <c r="T43" s="300">
        <f>+IF(R43&lt;$T$5,IF(ISERROR(Q43/R43),0,Q43/R43),0)</f>
        <v>0</v>
      </c>
      <c r="U43" s="133"/>
      <c r="V43" s="133"/>
      <c r="W43" s="152"/>
      <c r="X43" s="133"/>
      <c r="Y43" s="133"/>
      <c r="Z43" s="133"/>
      <c r="AA43" s="133"/>
      <c r="AB43" s="133"/>
      <c r="AC43" s="133"/>
      <c r="AD43" s="133"/>
      <c r="AE43" s="148"/>
    </row>
    <row r="44" spans="1:31">
      <c r="A44" s="318" t="s">
        <v>182</v>
      </c>
      <c r="B44" s="133"/>
      <c r="C44" s="133"/>
      <c r="D44" s="133"/>
      <c r="E44" s="319">
        <f>EOMONTH(E38,12)</f>
        <v>45657</v>
      </c>
      <c r="F44" s="133"/>
      <c r="G44" s="182" t="s">
        <v>203</v>
      </c>
      <c r="H44" s="133"/>
      <c r="I44" s="183">
        <f t="shared" ref="I44:N44" si="24">+I39+SUM(I42:I43)</f>
        <v>1955</v>
      </c>
      <c r="J44" s="183">
        <f t="shared" si="24"/>
        <v>4434</v>
      </c>
      <c r="K44" s="183">
        <f t="shared" si="24"/>
        <v>6519</v>
      </c>
      <c r="L44" s="184">
        <f t="shared" si="24"/>
        <v>3757</v>
      </c>
      <c r="M44" s="185">
        <f t="shared" si="24"/>
        <v>2323</v>
      </c>
      <c r="N44" s="173">
        <f t="shared" si="24"/>
        <v>5085</v>
      </c>
      <c r="O44" s="133"/>
      <c r="P44" s="332" t="s">
        <v>181</v>
      </c>
      <c r="Q44" s="333"/>
      <c r="R44" s="334"/>
      <c r="S44" s="333"/>
      <c r="T44" s="335">
        <f>SUM(T41:T43)</f>
        <v>0</v>
      </c>
      <c r="U44" s="133"/>
      <c r="V44" s="133"/>
      <c r="W44" s="152"/>
      <c r="X44" s="133"/>
      <c r="Y44" s="133"/>
      <c r="Z44" s="133"/>
      <c r="AA44" s="133"/>
      <c r="AB44" s="133"/>
      <c r="AC44" s="133"/>
      <c r="AD44" s="133"/>
      <c r="AE44" s="148"/>
    </row>
    <row r="45" spans="1:31">
      <c r="A45" s="318" t="s">
        <v>204</v>
      </c>
      <c r="B45" s="133"/>
      <c r="C45" s="290" t="s">
        <v>186</v>
      </c>
      <c r="D45" s="322" t="s">
        <v>187</v>
      </c>
      <c r="E45" s="241">
        <f>Z6</f>
        <v>57413.383892016718</v>
      </c>
      <c r="F45" s="133"/>
      <c r="G45" s="281" t="s">
        <v>163</v>
      </c>
      <c r="H45" s="157"/>
      <c r="I45" s="282">
        <f t="shared" ref="I45:N45" si="25">IF(ISERROR(I44/I8),"NA",I44/I8)</f>
        <v>0.20024582607804978</v>
      </c>
      <c r="J45" s="282">
        <f t="shared" si="25"/>
        <v>0.26980649872216139</v>
      </c>
      <c r="K45" s="282">
        <f t="shared" si="25"/>
        <v>0.27621710944451505</v>
      </c>
      <c r="L45" s="283">
        <f t="shared" si="25"/>
        <v>0.30208249577872476</v>
      </c>
      <c r="M45" s="284">
        <f t="shared" si="25"/>
        <v>0.21685959671396565</v>
      </c>
      <c r="N45" s="285">
        <f t="shared" si="25"/>
        <v>0.23244651673066374</v>
      </c>
      <c r="O45" s="133"/>
      <c r="P45" s="336"/>
      <c r="Q45" s="337"/>
      <c r="R45" s="338"/>
      <c r="S45" s="329"/>
      <c r="T45" s="329"/>
      <c r="U45" s="133"/>
      <c r="V45" s="133"/>
      <c r="W45" s="152"/>
      <c r="X45" s="133"/>
      <c r="Y45" s="133"/>
      <c r="Z45" s="133"/>
      <c r="AA45" s="133"/>
      <c r="AB45" s="133"/>
      <c r="AC45" s="133"/>
      <c r="AD45" s="133"/>
      <c r="AE45" s="148"/>
    </row>
    <row r="46" spans="1:31">
      <c r="A46" s="318" t="s">
        <v>205</v>
      </c>
      <c r="B46" s="133"/>
      <c r="C46" s="133"/>
      <c r="D46" s="326" t="s">
        <v>193</v>
      </c>
      <c r="E46" s="241">
        <f>Z11</f>
        <v>7248.8916249103495</v>
      </c>
      <c r="F46" s="133"/>
      <c r="G46" s="152"/>
      <c r="H46" s="133"/>
      <c r="I46" s="133"/>
      <c r="J46" s="133"/>
      <c r="K46" s="339"/>
      <c r="L46" s="133"/>
      <c r="M46" s="339"/>
      <c r="N46" s="148"/>
      <c r="O46" s="133"/>
      <c r="P46" s="137" t="s">
        <v>206</v>
      </c>
      <c r="Q46" s="138"/>
      <c r="R46" s="138"/>
      <c r="S46" s="138"/>
      <c r="T46" s="139"/>
      <c r="U46" s="133"/>
      <c r="V46" s="133"/>
      <c r="W46" s="152"/>
      <c r="X46" s="133"/>
      <c r="Y46" s="133"/>
      <c r="Z46" s="133"/>
      <c r="AA46" s="133"/>
      <c r="AB46" s="133"/>
      <c r="AC46" s="133"/>
      <c r="AD46" s="133"/>
      <c r="AE46" s="148"/>
    </row>
    <row r="47" spans="1:31">
      <c r="A47" s="318" t="s">
        <v>207</v>
      </c>
      <c r="B47" s="133"/>
      <c r="C47" s="133"/>
      <c r="D47" s="322"/>
      <c r="E47" s="241">
        <f>Z12</f>
        <v>3074.8916249103495</v>
      </c>
      <c r="F47" s="133"/>
      <c r="G47" s="152" t="s">
        <v>208</v>
      </c>
      <c r="H47" s="133"/>
      <c r="I47" s="266">
        <f t="shared" ref="I47:N47" si="26">I19</f>
        <v>2490</v>
      </c>
      <c r="J47" s="266">
        <f t="shared" si="26"/>
        <v>3162</v>
      </c>
      <c r="K47" s="266">
        <f t="shared" si="26"/>
        <v>1320</v>
      </c>
      <c r="L47" s="267">
        <f t="shared" si="26"/>
        <v>1233</v>
      </c>
      <c r="M47" s="268">
        <f t="shared" si="26"/>
        <v>-112</v>
      </c>
      <c r="N47" s="269">
        <f t="shared" si="26"/>
        <v>-25</v>
      </c>
      <c r="O47" s="133"/>
      <c r="P47" s="144"/>
      <c r="Q47" s="133"/>
      <c r="R47" s="32" t="str">
        <f>N6</f>
        <v>LTM</v>
      </c>
      <c r="S47" s="32" t="s">
        <v>209</v>
      </c>
      <c r="T47" s="279" t="s">
        <v>210</v>
      </c>
      <c r="U47" s="140"/>
      <c r="V47" s="133"/>
      <c r="W47" s="152"/>
      <c r="X47" s="133"/>
      <c r="Y47" s="133"/>
      <c r="Z47" s="133"/>
      <c r="AA47" s="133"/>
      <c r="AB47" s="133"/>
      <c r="AC47" s="133"/>
      <c r="AD47" s="133"/>
      <c r="AE47" s="148"/>
    </row>
    <row r="48" spans="1:31">
      <c r="A48" s="318" t="s">
        <v>211</v>
      </c>
      <c r="B48" s="133"/>
      <c r="C48" s="133"/>
      <c r="D48" s="326"/>
      <c r="E48" s="330">
        <v>4.16</v>
      </c>
      <c r="F48" s="133"/>
      <c r="G48" s="152" t="s">
        <v>156</v>
      </c>
      <c r="H48" s="133"/>
      <c r="I48" s="340">
        <f t="shared" ref="I48:N48" si="27">I29</f>
        <v>0</v>
      </c>
      <c r="J48" s="340">
        <f t="shared" si="27"/>
        <v>0</v>
      </c>
      <c r="K48" s="340">
        <f t="shared" si="27"/>
        <v>0</v>
      </c>
      <c r="L48" s="341">
        <f t="shared" si="27"/>
        <v>0</v>
      </c>
      <c r="M48" s="342">
        <f t="shared" si="27"/>
        <v>0</v>
      </c>
      <c r="N48" s="305">
        <f t="shared" si="27"/>
        <v>0</v>
      </c>
      <c r="O48" s="133"/>
      <c r="P48" s="144"/>
      <c r="Q48" s="133"/>
      <c r="R48" s="287">
        <f>N7</f>
        <v>45108</v>
      </c>
      <c r="S48" s="343">
        <f>+D68</f>
        <v>45291</v>
      </c>
      <c r="T48" s="344">
        <f>S48+365</f>
        <v>45656</v>
      </c>
      <c r="U48" s="140"/>
      <c r="V48" s="133"/>
      <c r="W48" s="152"/>
      <c r="X48" s="133"/>
      <c r="Y48" s="133"/>
      <c r="Z48" s="133"/>
      <c r="AA48" s="133"/>
      <c r="AB48" s="133"/>
      <c r="AC48" s="133"/>
      <c r="AD48" s="133"/>
      <c r="AE48" s="148"/>
    </row>
    <row r="49" spans="1:31">
      <c r="A49" s="144"/>
      <c r="B49" s="133"/>
      <c r="C49" s="133"/>
      <c r="D49" s="133"/>
      <c r="E49" s="201"/>
      <c r="F49" s="133"/>
      <c r="G49" s="152" t="s">
        <v>212</v>
      </c>
      <c r="H49" s="133"/>
      <c r="I49" s="296">
        <f>+SUM(I34:I38)</f>
        <v>274</v>
      </c>
      <c r="J49" s="296">
        <f t="shared" ref="J49:N49" si="28">+SUM(J34:J38)</f>
        <v>379</v>
      </c>
      <c r="K49" s="345">
        <f t="shared" si="28"/>
        <v>1081</v>
      </c>
      <c r="L49" s="296">
        <f t="shared" si="28"/>
        <v>491</v>
      </c>
      <c r="M49" s="345">
        <f t="shared" si="28"/>
        <v>657</v>
      </c>
      <c r="N49" s="346">
        <f t="shared" si="28"/>
        <v>1247</v>
      </c>
      <c r="O49" s="133"/>
      <c r="P49" s="144" t="s">
        <v>213</v>
      </c>
      <c r="Q49" s="133"/>
      <c r="R49" s="347">
        <f>IF(ISERROR(T17/N8),"NA",T17/N8)</f>
        <v>8.6229912192356917</v>
      </c>
      <c r="S49" s="347">
        <f t="shared" ref="S49:T51" si="29">IF(ISERROR($T$17/D69),"NA",$T$17/D69)</f>
        <v>5.1245305183494549</v>
      </c>
      <c r="T49" s="348">
        <f t="shared" si="29"/>
        <v>3.2855850522029537</v>
      </c>
      <c r="U49" s="140"/>
      <c r="V49" s="133"/>
      <c r="W49" s="152"/>
      <c r="X49" s="133"/>
      <c r="Y49" s="133"/>
      <c r="Z49" s="133"/>
      <c r="AA49" s="133"/>
      <c r="AB49" s="133"/>
      <c r="AC49" s="133"/>
      <c r="AD49" s="133"/>
      <c r="AE49" s="148"/>
    </row>
    <row r="50" spans="1:31">
      <c r="A50" s="318" t="s">
        <v>182</v>
      </c>
      <c r="B50" s="133"/>
      <c r="C50" s="133"/>
      <c r="D50" s="133"/>
      <c r="E50" s="319">
        <f>EOMONTH(E44,12)</f>
        <v>46022</v>
      </c>
      <c r="F50" s="133"/>
      <c r="G50" s="152" t="s">
        <v>214</v>
      </c>
      <c r="H50" s="133"/>
      <c r="I50" s="208">
        <v>0</v>
      </c>
      <c r="J50" s="208">
        <v>0</v>
      </c>
      <c r="K50" s="208">
        <v>0</v>
      </c>
      <c r="L50" s="209">
        <v>0</v>
      </c>
      <c r="M50" s="210">
        <v>0</v>
      </c>
      <c r="N50" s="346">
        <f t="shared" ref="N50" si="30">+N43</f>
        <v>0</v>
      </c>
      <c r="O50" s="306"/>
      <c r="P50" s="144" t="s">
        <v>69</v>
      </c>
      <c r="Q50" s="133"/>
      <c r="R50" s="347">
        <f>IF(ISERROR($T$17/N44),"NA",T17/N44)</f>
        <v>37.096667829301865</v>
      </c>
      <c r="S50" s="347">
        <f t="shared" si="29"/>
        <v>30.695259570192604</v>
      </c>
      <c r="T50" s="348">
        <f t="shared" si="29"/>
        <v>26.02281364833247</v>
      </c>
      <c r="U50" s="140"/>
      <c r="V50" s="133"/>
      <c r="W50" s="152"/>
      <c r="X50" s="133"/>
      <c r="Y50" s="133"/>
      <c r="Z50" s="133"/>
      <c r="AA50" s="133"/>
      <c r="AB50" s="133"/>
      <c r="AC50" s="133"/>
      <c r="AD50" s="133"/>
      <c r="AE50" s="148"/>
    </row>
    <row r="51" spans="1:31">
      <c r="A51" s="318" t="s">
        <v>215</v>
      </c>
      <c r="B51" s="133"/>
      <c r="C51" s="290" t="s">
        <v>186</v>
      </c>
      <c r="D51" s="322" t="s">
        <v>187</v>
      </c>
      <c r="E51" s="241">
        <f>AA6</f>
        <v>89547.716233698826</v>
      </c>
      <c r="F51" s="133"/>
      <c r="G51" s="152" t="s">
        <v>216</v>
      </c>
      <c r="H51" s="133"/>
      <c r="I51" s="296">
        <f t="shared" ref="I51:N51" si="31">-(SUM(I48:I50)*($E$10))</f>
        <v>-57.54</v>
      </c>
      <c r="J51" s="296">
        <f t="shared" si="31"/>
        <v>-79.59</v>
      </c>
      <c r="K51" s="345">
        <f t="shared" si="31"/>
        <v>-227.01</v>
      </c>
      <c r="L51" s="296">
        <f t="shared" si="31"/>
        <v>-103.11</v>
      </c>
      <c r="M51" s="345">
        <f t="shared" si="31"/>
        <v>-137.97</v>
      </c>
      <c r="N51" s="346">
        <f t="shared" si="31"/>
        <v>-261.87</v>
      </c>
      <c r="O51" s="133"/>
      <c r="P51" s="144" t="s">
        <v>70</v>
      </c>
      <c r="Q51" s="133"/>
      <c r="R51" s="347">
        <f>IF(ISERROR($T$17/N39),"NA",T17/N39)</f>
        <v>217.0731368377445</v>
      </c>
      <c r="S51" s="347">
        <f t="shared" si="29"/>
        <v>95.683579718010705</v>
      </c>
      <c r="T51" s="348">
        <f t="shared" si="29"/>
        <v>61.347383557786301</v>
      </c>
      <c r="U51" s="140"/>
      <c r="V51" s="133"/>
      <c r="W51" s="152"/>
      <c r="X51" s="133"/>
      <c r="Y51" s="133"/>
      <c r="Z51" s="133"/>
      <c r="AA51" s="133"/>
      <c r="AB51" s="133"/>
      <c r="AC51" s="133"/>
      <c r="AD51" s="133"/>
      <c r="AE51" s="148"/>
    </row>
    <row r="52" spans="1:31" ht="15.75" thickBot="1">
      <c r="A52" s="318" t="s">
        <v>217</v>
      </c>
      <c r="B52" s="133"/>
      <c r="C52" s="133"/>
      <c r="D52" s="326" t="s">
        <v>193</v>
      </c>
      <c r="E52" s="241">
        <f>AA11</f>
        <v>8969.9117545610497</v>
      </c>
      <c r="F52" s="133"/>
      <c r="G52" s="182" t="s">
        <v>218</v>
      </c>
      <c r="H52" s="133"/>
      <c r="I52" s="232">
        <f t="shared" ref="I52:N52" si="32">SUM(I47:I51)</f>
        <v>2706.46</v>
      </c>
      <c r="J52" s="232">
        <f t="shared" si="32"/>
        <v>3461.41</v>
      </c>
      <c r="K52" s="232">
        <f t="shared" si="32"/>
        <v>2173.9899999999998</v>
      </c>
      <c r="L52" s="233">
        <f t="shared" si="32"/>
        <v>1620.89</v>
      </c>
      <c r="M52" s="234">
        <f t="shared" si="32"/>
        <v>407.03</v>
      </c>
      <c r="N52" s="235">
        <f t="shared" si="32"/>
        <v>960.13</v>
      </c>
      <c r="O52" s="133"/>
      <c r="P52" s="144" t="s">
        <v>72</v>
      </c>
      <c r="Q52" s="133"/>
      <c r="R52" s="347">
        <f>IF(ISERROR($T$5/N57),"NA",T5/N57)</f>
        <v>203.56743357670317</v>
      </c>
      <c r="S52" s="347">
        <f>IF(ISERROR($T$5/D72),"NA",$T$5/D72)</f>
        <v>42.608695652173914</v>
      </c>
      <c r="T52" s="348">
        <f>IF(ISERROR($T$5/E72),"NA",$T$5/E72)</f>
        <v>28.269230769230766</v>
      </c>
      <c r="U52" s="140"/>
      <c r="V52" s="133"/>
      <c r="W52" s="349"/>
      <c r="X52" s="350"/>
      <c r="Y52" s="350"/>
      <c r="Z52" s="350"/>
      <c r="AA52" s="350"/>
      <c r="AB52" s="350"/>
      <c r="AC52" s="350"/>
      <c r="AD52" s="350"/>
      <c r="AE52" s="351"/>
    </row>
    <row r="53" spans="1:31" ht="15.75" thickTop="1">
      <c r="A53" s="318" t="s">
        <v>219</v>
      </c>
      <c r="B53" s="133"/>
      <c r="C53" s="133"/>
      <c r="D53" s="322"/>
      <c r="E53" s="241">
        <f>AA12</f>
        <v>4795.9117545610497</v>
      </c>
      <c r="F53" s="133"/>
      <c r="G53" s="281" t="s">
        <v>163</v>
      </c>
      <c r="H53" s="157"/>
      <c r="I53" s="282">
        <f t="shared" ref="I53:N53" si="33">IF(ISERROR(I52/I8),"NA",I52/I8)</f>
        <v>0.27721601966608622</v>
      </c>
      <c r="J53" s="282">
        <f t="shared" si="33"/>
        <v>0.21062492393817694</v>
      </c>
      <c r="K53" s="282">
        <f t="shared" si="33"/>
        <v>9.2114317189949571E-2</v>
      </c>
      <c r="L53" s="283">
        <f t="shared" si="33"/>
        <v>0.13032805338908099</v>
      </c>
      <c r="M53" s="284">
        <f t="shared" si="33"/>
        <v>3.7997572815533981E-2</v>
      </c>
      <c r="N53" s="285">
        <f t="shared" si="33"/>
        <v>4.3889650758822452E-2</v>
      </c>
      <c r="O53" s="133"/>
      <c r="P53" s="180" t="s">
        <v>220</v>
      </c>
      <c r="Q53" s="181"/>
      <c r="R53" s="347">
        <f>IF(ISERROR($T$11/(N73-N74)),"NA",($T$11/(N73-N74)))</f>
        <v>103.48556824424209</v>
      </c>
      <c r="S53" s="352"/>
      <c r="T53" s="353"/>
      <c r="U53" s="140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</row>
    <row r="54" spans="1:31">
      <c r="A54" s="318" t="s">
        <v>221</v>
      </c>
      <c r="B54" s="133"/>
      <c r="C54" s="133"/>
      <c r="D54" s="326"/>
      <c r="E54" s="330">
        <v>5.26</v>
      </c>
      <c r="F54" s="133"/>
      <c r="G54" s="152"/>
      <c r="H54" s="133"/>
      <c r="I54" s="290"/>
      <c r="J54" s="290"/>
      <c r="K54" s="290"/>
      <c r="L54" s="291"/>
      <c r="M54" s="292"/>
      <c r="N54" s="293"/>
      <c r="O54" s="133"/>
      <c r="P54" s="137" t="s">
        <v>222</v>
      </c>
      <c r="Q54" s="138"/>
      <c r="R54" s="138"/>
      <c r="S54" s="138"/>
      <c r="T54" s="139"/>
      <c r="U54" s="140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</row>
    <row r="55" spans="1:31">
      <c r="A55" s="144"/>
      <c r="B55" s="133"/>
      <c r="C55" s="133"/>
      <c r="D55" s="133"/>
      <c r="E55" s="201"/>
      <c r="F55" s="133"/>
      <c r="G55" s="152" t="s">
        <v>223</v>
      </c>
      <c r="H55" s="133"/>
      <c r="I55" s="208">
        <v>0</v>
      </c>
      <c r="J55" s="208">
        <v>0</v>
      </c>
      <c r="K55" s="208">
        <v>0</v>
      </c>
      <c r="L55" s="209">
        <v>0</v>
      </c>
      <c r="M55" s="210">
        <v>0</v>
      </c>
      <c r="N55" s="193">
        <f>+IF(ISERROR(K55+M55-L55),"NA",K55+M55-L55)</f>
        <v>0</v>
      </c>
      <c r="O55" s="354"/>
      <c r="P55" s="355" t="s">
        <v>224</v>
      </c>
      <c r="Q55" s="356"/>
      <c r="R55" s="356"/>
      <c r="S55" s="356"/>
      <c r="T55" s="357"/>
      <c r="U55" s="140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</row>
    <row r="56" spans="1:31">
      <c r="A56" s="318" t="s">
        <v>225</v>
      </c>
      <c r="B56" s="133"/>
      <c r="C56" s="133"/>
      <c r="D56" s="133"/>
      <c r="E56" s="358">
        <f>MAX(0,D68-E38)</f>
        <v>0</v>
      </c>
      <c r="F56" s="133"/>
      <c r="G56" s="152" t="s">
        <v>226</v>
      </c>
      <c r="H56" s="133"/>
      <c r="I56" s="208">
        <v>0</v>
      </c>
      <c r="J56" s="208">
        <v>0</v>
      </c>
      <c r="K56" s="208">
        <v>0</v>
      </c>
      <c r="L56" s="209">
        <v>0</v>
      </c>
      <c r="M56" s="210">
        <v>0</v>
      </c>
      <c r="N56" s="193">
        <f>+IF(ISERROR(K56+M56-L56),"NA",K56+M56-L56)</f>
        <v>0</v>
      </c>
      <c r="O56" s="354"/>
      <c r="P56" s="144"/>
      <c r="Q56" s="133"/>
      <c r="R56" s="359" t="s">
        <v>28</v>
      </c>
      <c r="S56" s="359" t="s">
        <v>29</v>
      </c>
      <c r="T56" s="360" t="s">
        <v>31</v>
      </c>
      <c r="U56" s="140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</row>
    <row r="57" spans="1:31">
      <c r="A57" s="318" t="s">
        <v>227</v>
      </c>
      <c r="B57" s="133"/>
      <c r="C57" s="133"/>
      <c r="D57" s="133"/>
      <c r="E57" s="358">
        <f>MAX(0,E38-D68)</f>
        <v>0</v>
      </c>
      <c r="F57" s="133"/>
      <c r="G57" s="361" t="s">
        <v>228</v>
      </c>
      <c r="H57" s="133"/>
      <c r="I57" s="362">
        <f>IF(ISERROR((I52+I55)/(I21+I56)),0,((I52+I55)/(I21+I56)))</f>
        <v>2.2423032311516158</v>
      </c>
      <c r="J57" s="362">
        <f t="shared" ref="J57:N57" si="34">IF(ISERROR((J52+J55)/(J21+J56)),0,((J52+J55)/(J21+J56)))</f>
        <v>2.8164442636289664</v>
      </c>
      <c r="K57" s="362">
        <f>IF(ISERROR((K52+K55)/(K21+K56)),0,((K52+K55)/(K21+K56)))</f>
        <v>1.3838255887969444</v>
      </c>
      <c r="L57" s="363">
        <f t="shared" si="34"/>
        <v>1.0656738987508219</v>
      </c>
      <c r="M57" s="364">
        <f t="shared" si="34"/>
        <v>0.2525</v>
      </c>
      <c r="N57" s="365">
        <f t="shared" si="34"/>
        <v>0.5776955475330926</v>
      </c>
      <c r="O57" s="354"/>
      <c r="P57" s="366" t="s">
        <v>229</v>
      </c>
      <c r="Q57" s="133"/>
      <c r="R57" s="133"/>
      <c r="S57" s="133"/>
      <c r="T57" s="201"/>
      <c r="U57" s="140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</row>
    <row r="58" spans="1:31">
      <c r="A58" s="318" t="s">
        <v>230</v>
      </c>
      <c r="B58" s="367"/>
      <c r="C58" s="367"/>
      <c r="D58" s="367"/>
      <c r="E58" s="368">
        <f>IF(E57&gt;0,E57/365,0)</f>
        <v>0</v>
      </c>
      <c r="F58" s="133"/>
      <c r="G58" s="152"/>
      <c r="H58" s="133"/>
      <c r="I58" s="133"/>
      <c r="J58" s="133"/>
      <c r="K58" s="133"/>
      <c r="L58" s="133"/>
      <c r="M58" s="133"/>
      <c r="N58" s="148"/>
      <c r="O58" s="354"/>
      <c r="P58" s="144" t="s">
        <v>231</v>
      </c>
      <c r="Q58" s="133"/>
      <c r="R58" s="369">
        <f>IF(MONTH(E8)=12,(K8/J8-1),(E63/D63-1))</f>
        <v>0.43610806863818907</v>
      </c>
      <c r="S58" s="369">
        <f>IF(MONTH(E8)=12,(K44/J44-1),(E64/D64-1))</f>
        <v>0.47023004059539919</v>
      </c>
      <c r="T58" s="370">
        <f>IF(MONTH(E8)=12,(K57/J57-1),(E66/D66-1))</f>
        <v>-0.50866217852509676</v>
      </c>
      <c r="U58" s="140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</row>
    <row r="59" spans="1:31">
      <c r="A59" s="318" t="s">
        <v>232</v>
      </c>
      <c r="B59" s="367"/>
      <c r="C59" s="367"/>
      <c r="D59" s="367"/>
      <c r="E59" s="368">
        <f>IF(E56&gt;0,(365-E56)/365,1-E58)</f>
        <v>1</v>
      </c>
      <c r="F59" s="133"/>
      <c r="G59" s="371" t="s">
        <v>233</v>
      </c>
      <c r="H59" s="372"/>
      <c r="I59" s="372"/>
      <c r="J59" s="372"/>
      <c r="K59" s="372"/>
      <c r="L59" s="372"/>
      <c r="M59" s="372"/>
      <c r="N59" s="373"/>
      <c r="O59" s="354"/>
      <c r="P59" s="144" t="s">
        <v>234</v>
      </c>
      <c r="Q59" s="133"/>
      <c r="R59" s="369">
        <f>IF(MONTH(E8)=12,((K8/I8)^(1/2)-1),((E63/C63)^(1/2)-1))</f>
        <v>0.55479651241634254</v>
      </c>
      <c r="S59" s="369">
        <f>IF(MONTH(E8)=12,((K44/I44)^(1/2)-1),((E64/C64)^(1/2)-1))</f>
        <v>0.82606868825352486</v>
      </c>
      <c r="T59" s="370">
        <f>IF(MONTH(E8)=12,((K57/I57)^(1/2)-1),((E66/C66)^(1/2)-1))</f>
        <v>-0.2144144126081039</v>
      </c>
      <c r="U59" s="354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 spans="1:31">
      <c r="A60" s="318" t="s">
        <v>235</v>
      </c>
      <c r="B60" s="367"/>
      <c r="C60" s="367"/>
      <c r="D60" s="367"/>
      <c r="E60" s="368">
        <f>1-E59-E58</f>
        <v>0</v>
      </c>
      <c r="F60" s="133"/>
      <c r="G60" s="472"/>
      <c r="H60" s="473"/>
      <c r="I60" s="473"/>
      <c r="J60" s="473"/>
      <c r="K60" s="473"/>
      <c r="L60" s="473"/>
      <c r="M60" s="473"/>
      <c r="N60" s="474"/>
      <c r="O60" s="133"/>
      <c r="P60" s="144"/>
      <c r="Q60" s="133"/>
      <c r="R60" s="133"/>
      <c r="S60" s="290"/>
      <c r="T60" s="470"/>
      <c r="U60" s="140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</row>
    <row r="61" spans="1:31">
      <c r="A61" s="133"/>
      <c r="B61" s="133"/>
      <c r="C61" s="133"/>
      <c r="D61" s="133"/>
      <c r="E61" s="201"/>
      <c r="F61" s="133"/>
      <c r="G61" s="475"/>
      <c r="H61" s="476"/>
      <c r="I61" s="476"/>
      <c r="J61" s="476"/>
      <c r="K61" s="476"/>
      <c r="L61" s="476"/>
      <c r="M61" s="476"/>
      <c r="N61" s="477"/>
      <c r="O61" s="133"/>
      <c r="P61" s="366" t="s">
        <v>236</v>
      </c>
      <c r="Q61" s="133"/>
      <c r="R61" s="369"/>
      <c r="S61" s="369"/>
      <c r="T61" s="370"/>
      <c r="U61" s="140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</row>
    <row r="62" spans="1:31">
      <c r="A62" s="374" t="s">
        <v>237</v>
      </c>
      <c r="B62" s="133"/>
      <c r="C62" s="375">
        <f>EOMONTH(D62,-12)</f>
        <v>44196</v>
      </c>
      <c r="D62" s="375">
        <f>EOMONTH(E62,-12)</f>
        <v>44561</v>
      </c>
      <c r="E62" s="319">
        <f>EOMONTH(D68,-12)</f>
        <v>44926</v>
      </c>
      <c r="F62" s="133"/>
      <c r="G62" s="478"/>
      <c r="H62" s="476"/>
      <c r="I62" s="476"/>
      <c r="J62" s="476"/>
      <c r="K62" s="476"/>
      <c r="L62" s="476"/>
      <c r="M62" s="476"/>
      <c r="N62" s="477"/>
      <c r="O62" s="133"/>
      <c r="P62" s="144" t="s">
        <v>231</v>
      </c>
      <c r="Q62" s="133"/>
      <c r="R62" s="369">
        <f>IF(MONTH(E8)=12,(D69/K8-1),(D69/E63-1))</f>
        <v>0.5597010690420281</v>
      </c>
      <c r="S62" s="369">
        <f>IF(MONTH(E8)=12,(D70/K44-1),(D70/E64-1))</f>
        <v>-5.7299869417223093E-2</v>
      </c>
      <c r="T62" s="370">
        <f>IF(MONTH(E8)=12,(D72/K57-1),(D72/E66-1))</f>
        <v>0.99447099572675146</v>
      </c>
      <c r="U62" s="140"/>
      <c r="V62" s="272"/>
      <c r="W62" s="133"/>
      <c r="X62" s="133"/>
      <c r="Y62" s="133"/>
      <c r="Z62" s="133"/>
      <c r="AA62" s="133"/>
      <c r="AB62" s="133"/>
      <c r="AC62" s="133"/>
      <c r="AD62" s="133"/>
      <c r="AE62" s="133"/>
    </row>
    <row r="63" spans="1:31">
      <c r="A63" s="318" t="s">
        <v>98</v>
      </c>
      <c r="B63" s="133"/>
      <c r="C63" s="296">
        <f>H8*$E$58+I8*$E$59+J8*$E$60</f>
        <v>9763</v>
      </c>
      <c r="D63" s="296">
        <f>I8*$E$58+J8*$E$59+K8*$E$60</f>
        <v>16434</v>
      </c>
      <c r="E63" s="211">
        <f>J8*$E$58+K8*$E$59+E39*$E$60</f>
        <v>23601</v>
      </c>
      <c r="F63" s="133"/>
      <c r="G63" s="475"/>
      <c r="H63" s="476"/>
      <c r="I63" s="476"/>
      <c r="J63" s="476"/>
      <c r="K63" s="476"/>
      <c r="L63" s="476"/>
      <c r="M63" s="476"/>
      <c r="N63" s="477"/>
      <c r="O63" s="133"/>
      <c r="P63" s="144" t="s">
        <v>234</v>
      </c>
      <c r="Q63" s="133"/>
      <c r="R63" s="369">
        <f>IF(MONTH(E8)=12,(($E69/$K8)^(1/2)-1),(($E69/$E63)^(1/2)-1))</f>
        <v>0.5597010690420281</v>
      </c>
      <c r="S63" s="369">
        <f>IF(MONTH(E8)=12,(($E70/$K44)^(1/2)-1),(($E70/$E64)^(1/2)-1))</f>
        <v>5.4496913504556099E-2</v>
      </c>
      <c r="T63" s="370">
        <f>IF(MONTH(E8)=12,(($E72/$K57)^(1/2)-1),(($E72/$E66)^(1/2)-1))</f>
        <v>0.73382789860036546</v>
      </c>
      <c r="U63" s="376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</row>
    <row r="64" spans="1:31" ht="15.75" thickBot="1">
      <c r="A64" s="318" t="s">
        <v>29</v>
      </c>
      <c r="B64" s="133"/>
      <c r="C64" s="296">
        <f>H44*$E$58+I44*$E$59+J44*$E$60</f>
        <v>1955</v>
      </c>
      <c r="D64" s="296">
        <f>I44*$E$58+J44*$E$59+K44*$E$60</f>
        <v>4434</v>
      </c>
      <c r="E64" s="211">
        <f>J44*$E$58+K44*$E$59+E40*$E$60</f>
        <v>6519</v>
      </c>
      <c r="F64" s="133"/>
      <c r="G64" s="377"/>
      <c r="H64" s="378"/>
      <c r="I64" s="378"/>
      <c r="J64" s="378"/>
      <c r="K64" s="378"/>
      <c r="L64" s="378"/>
      <c r="M64" s="378"/>
      <c r="N64" s="379"/>
      <c r="O64" s="133"/>
      <c r="P64" s="144" t="s">
        <v>238</v>
      </c>
      <c r="Q64" s="133"/>
      <c r="R64" s="157"/>
      <c r="S64" s="157"/>
      <c r="T64" s="380">
        <v>0</v>
      </c>
      <c r="U64" s="376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</row>
    <row r="65" spans="1:31">
      <c r="A65" s="318" t="s">
        <v>30</v>
      </c>
      <c r="B65" s="133"/>
      <c r="C65" s="296">
        <f>H39*$E$58+I39*$E$59+J39*$E$60</f>
        <v>1643</v>
      </c>
      <c r="D65" s="296">
        <f>I39*$E$58+J39*$E$59+K39*$E$60</f>
        <v>4027</v>
      </c>
      <c r="E65" s="211">
        <f>J39*$E$58+K39*$E$59+E41*$E$60</f>
        <v>2345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44"/>
      <c r="Q65" s="133"/>
      <c r="R65" s="133"/>
      <c r="S65" s="133"/>
      <c r="T65" s="201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</row>
    <row r="66" spans="1:31">
      <c r="A66" s="318" t="s">
        <v>31</v>
      </c>
      <c r="B66" s="133"/>
      <c r="C66" s="381">
        <f>H57*$E$58+I57*$E$59+J57*$E$60</f>
        <v>2.2423032311516158</v>
      </c>
      <c r="D66" s="381">
        <f>I57*$E$58+J57*$E$59+K57*$E$60</f>
        <v>2.8164442636289664</v>
      </c>
      <c r="E66" s="382">
        <f>J57*$E$58+K57*$E$59+E42*$E$60</f>
        <v>1.3838255887969444</v>
      </c>
      <c r="F66" s="133"/>
      <c r="G66" s="137" t="s">
        <v>239</v>
      </c>
      <c r="H66" s="138"/>
      <c r="I66" s="138"/>
      <c r="J66" s="138"/>
      <c r="K66" s="139"/>
      <c r="L66" s="137"/>
      <c r="M66" s="138"/>
      <c r="N66" s="138"/>
      <c r="O66" s="133"/>
      <c r="P66" s="355" t="s">
        <v>240</v>
      </c>
      <c r="Q66" s="134"/>
      <c r="R66" s="134"/>
      <c r="S66" s="134"/>
      <c r="T66" s="38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</row>
    <row r="67" spans="1:31">
      <c r="A67" s="144"/>
      <c r="B67" s="133"/>
      <c r="C67" s="133"/>
      <c r="D67" s="133"/>
      <c r="E67" s="201"/>
      <c r="F67" s="133"/>
      <c r="G67" s="144"/>
      <c r="H67" s="133"/>
      <c r="I67" s="147"/>
      <c r="J67" s="147"/>
      <c r="K67" s="133"/>
      <c r="L67" s="32" t="s">
        <v>88</v>
      </c>
      <c r="M67" s="32" t="s">
        <v>89</v>
      </c>
      <c r="N67" s="201"/>
      <c r="O67" s="133"/>
      <c r="P67" s="144" t="s">
        <v>241</v>
      </c>
      <c r="Q67" s="133"/>
      <c r="R67" s="133"/>
      <c r="S67" s="133"/>
      <c r="T67" s="159">
        <f>IF(ISERROR((N39*(1-E10))/(AVERAGE(D26+D32,E26+E32))),0,(N39*(1-E10))/(AVERAGE(D26+D32,E26+E32)))</f>
        <v>1.2036960733603934E-2</v>
      </c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</row>
    <row r="68" spans="1:31">
      <c r="A68" s="374" t="s">
        <v>242</v>
      </c>
      <c r="B68" s="133"/>
      <c r="C68" s="133"/>
      <c r="D68" s="375">
        <f>DATE(YEAR(S5),12,31)</f>
        <v>45291</v>
      </c>
      <c r="E68" s="319">
        <f>+EOMONTH(D68,12)</f>
        <v>45657</v>
      </c>
      <c r="F68" s="133"/>
      <c r="G68" s="144"/>
      <c r="H68" s="133"/>
      <c r="I68" s="154" t="str">
        <f>"Fiscal Year Ending "&amp;TEXT($E$8,"mmmm d")&amp;","</f>
        <v>Fiscal Year Ending December 31,</v>
      </c>
      <c r="J68" s="154"/>
      <c r="K68" s="154"/>
      <c r="L68" s="32" t="s">
        <v>91</v>
      </c>
      <c r="M68" s="32" t="s">
        <v>91</v>
      </c>
      <c r="N68" s="279" t="s">
        <v>16</v>
      </c>
      <c r="O68" s="133"/>
      <c r="P68" s="186" t="s">
        <v>243</v>
      </c>
      <c r="Q68" s="133"/>
      <c r="R68" s="133"/>
      <c r="S68" s="133"/>
      <c r="T68" s="159">
        <f>IF(ISERROR(N52/AVERAGE(D32,E32)),0,N52/AVERAGE(D32,E32))</f>
        <v>1.7475019565731758E-2</v>
      </c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</row>
    <row r="69" spans="1:31">
      <c r="A69" s="318" t="s">
        <v>98</v>
      </c>
      <c r="B69" s="133"/>
      <c r="C69" s="133"/>
      <c r="D69" s="384">
        <f>K8*$E$58+E39*$E$59+E45*$E$60</f>
        <v>36810.504930460906</v>
      </c>
      <c r="E69" s="385">
        <f>E39*$E$58+E45*$E$59+E51*$E$60</f>
        <v>57413.383892016718</v>
      </c>
      <c r="F69" s="133"/>
      <c r="G69" s="386"/>
      <c r="H69" s="134"/>
      <c r="I69" s="161">
        <f t="shared" ref="I69:N69" si="35">+I27</f>
        <v>44196</v>
      </c>
      <c r="J69" s="161">
        <f t="shared" si="35"/>
        <v>44561</v>
      </c>
      <c r="K69" s="161">
        <f t="shared" si="35"/>
        <v>44926</v>
      </c>
      <c r="L69" s="162">
        <f t="shared" si="35"/>
        <v>44737</v>
      </c>
      <c r="M69" s="163">
        <f t="shared" si="35"/>
        <v>45108</v>
      </c>
      <c r="N69" s="288">
        <f t="shared" si="35"/>
        <v>45108</v>
      </c>
      <c r="O69" s="133"/>
      <c r="P69" s="186" t="s">
        <v>244</v>
      </c>
      <c r="Q69" s="133"/>
      <c r="R69" s="133"/>
      <c r="S69" s="133"/>
      <c r="T69" s="159">
        <f>IF(ISERROR(N52/AVERAGE(D23,E23)),0,N52/AVERAGE(D23,E23))</f>
        <v>1.4166746589743779E-2</v>
      </c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</row>
    <row r="70" spans="1:31">
      <c r="A70" s="318" t="s">
        <v>29</v>
      </c>
      <c r="B70" s="133"/>
      <c r="C70" s="133"/>
      <c r="D70" s="296">
        <f>K44*$E$58+E40*$E$59+E46*$E$60</f>
        <v>6145.4621512691228</v>
      </c>
      <c r="E70" s="385">
        <f>E40*$E$58+E46*$E$59+E52*$E$60</f>
        <v>7248.8916249103495</v>
      </c>
      <c r="F70" s="133"/>
      <c r="G70" s="144" t="s">
        <v>199</v>
      </c>
      <c r="H70" s="133"/>
      <c r="I70" s="208">
        <v>312</v>
      </c>
      <c r="J70" s="208">
        <v>407</v>
      </c>
      <c r="K70" s="208">
        <v>4174</v>
      </c>
      <c r="L70" s="209">
        <v>1789</v>
      </c>
      <c r="M70" s="210">
        <v>1831</v>
      </c>
      <c r="N70" s="387">
        <f>K70+M70-L70</f>
        <v>4216</v>
      </c>
      <c r="O70" s="306"/>
      <c r="P70" s="43" t="s">
        <v>245</v>
      </c>
      <c r="Q70" s="133"/>
      <c r="R70" s="133"/>
      <c r="S70" s="133"/>
      <c r="T70" s="159">
        <f>IF(ISERROR((T9*4)/T5),"NA",(T9*4)/T5)</f>
        <v>0</v>
      </c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</row>
    <row r="71" spans="1:31">
      <c r="A71" s="318" t="s">
        <v>30</v>
      </c>
      <c r="B71" s="133"/>
      <c r="C71" s="133"/>
      <c r="D71" s="296">
        <f>K39*$E$58+E41*$E$59+E47*$E$60</f>
        <v>1971.4621512691228</v>
      </c>
      <c r="E71" s="385">
        <f>E41*$E$58+E47*$E$59+E53*$E$60</f>
        <v>3074.8916249103495</v>
      </c>
      <c r="F71" s="133"/>
      <c r="G71" s="156" t="s">
        <v>246</v>
      </c>
      <c r="H71" s="157"/>
      <c r="I71" s="388">
        <f t="shared" ref="I71:N71" si="36">IF(ISERROR(I70/I8),"NA",I70/I8)</f>
        <v>3.1957390146471372E-2</v>
      </c>
      <c r="J71" s="388">
        <f t="shared" si="36"/>
        <v>2.4765729585006693E-2</v>
      </c>
      <c r="K71" s="388">
        <f t="shared" si="36"/>
        <v>0.17685691284267616</v>
      </c>
      <c r="L71" s="389">
        <f t="shared" si="36"/>
        <v>0.14384497869261076</v>
      </c>
      <c r="M71" s="390">
        <f t="shared" si="36"/>
        <v>0.17092979835698283</v>
      </c>
      <c r="N71" s="391">
        <f t="shared" si="36"/>
        <v>0.19272261839458768</v>
      </c>
      <c r="O71" s="133"/>
      <c r="P71" s="144"/>
      <c r="Q71" s="133"/>
      <c r="R71" s="133"/>
      <c r="S71" s="133"/>
      <c r="T71" s="201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</row>
    <row r="72" spans="1:31">
      <c r="A72" s="392" t="s">
        <v>31</v>
      </c>
      <c r="B72" s="181"/>
      <c r="C72" s="181"/>
      <c r="D72" s="393">
        <f>K57*$E$58+E42*$E$59+E48*$E$60</f>
        <v>2.76</v>
      </c>
      <c r="E72" s="394">
        <f>E42*$E$58+E48*$E$59+E54*$E$60</f>
        <v>4.16</v>
      </c>
      <c r="F72" s="133"/>
      <c r="G72" s="144" t="s">
        <v>180</v>
      </c>
      <c r="H72" s="133"/>
      <c r="I72" s="208">
        <v>274</v>
      </c>
      <c r="J72" s="208">
        <v>379</v>
      </c>
      <c r="K72" s="208">
        <v>1081</v>
      </c>
      <c r="L72" s="209">
        <v>491</v>
      </c>
      <c r="M72" s="210">
        <v>657</v>
      </c>
      <c r="N72" s="387">
        <f>K72+M72-L72</f>
        <v>1247</v>
      </c>
      <c r="O72" s="133"/>
      <c r="P72" s="355" t="s">
        <v>247</v>
      </c>
      <c r="Q72" s="356"/>
      <c r="R72" s="356"/>
      <c r="S72" s="356"/>
      <c r="T72" s="357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</row>
    <row r="73" spans="1:31">
      <c r="A73" s="133"/>
      <c r="B73" s="133"/>
      <c r="C73" s="133"/>
      <c r="D73" s="133"/>
      <c r="E73" s="133"/>
      <c r="F73" s="133"/>
      <c r="G73" s="144" t="s">
        <v>248</v>
      </c>
      <c r="H73" s="133"/>
      <c r="I73" s="208">
        <v>1071</v>
      </c>
      <c r="J73" s="208">
        <v>3521</v>
      </c>
      <c r="K73" s="208">
        <v>3565</v>
      </c>
      <c r="L73" s="209">
        <v>2033</v>
      </c>
      <c r="M73" s="210">
        <v>865</v>
      </c>
      <c r="N73" s="387">
        <f>K73+M73-L73</f>
        <v>2397</v>
      </c>
      <c r="O73" s="133"/>
      <c r="P73" s="144" t="s">
        <v>249</v>
      </c>
      <c r="Q73" s="133"/>
      <c r="R73" s="133"/>
      <c r="S73" s="133"/>
      <c r="T73" s="159">
        <f>IF(ISBLANK(S13),(E26/(E26+T11)),(S13/(S13+T11)))</f>
        <v>8.7932809277071894E-3</v>
      </c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</row>
    <row r="74" spans="1:31">
      <c r="A74" s="395" t="s">
        <v>250</v>
      </c>
      <c r="B74" s="396"/>
      <c r="C74" s="396"/>
      <c r="D74" s="396"/>
      <c r="E74" s="397"/>
      <c r="F74" s="133"/>
      <c r="G74" s="144" t="s">
        <v>251</v>
      </c>
      <c r="H74" s="133"/>
      <c r="I74" s="208">
        <v>294</v>
      </c>
      <c r="J74" s="208">
        <v>301</v>
      </c>
      <c r="K74" s="208">
        <v>450</v>
      </c>
      <c r="L74" s="209">
        <v>203</v>
      </c>
      <c r="M74" s="210">
        <v>283</v>
      </c>
      <c r="N74" s="387">
        <f>K74+M74-L74</f>
        <v>530</v>
      </c>
      <c r="O74" s="133"/>
      <c r="P74" s="144" t="s">
        <v>252</v>
      </c>
      <c r="Q74" s="133"/>
      <c r="R74" s="133"/>
      <c r="S74" s="133"/>
      <c r="T74" s="398">
        <f>IF(ISERROR(S13/N44),0,T13/N44)</f>
        <v>0.33706981317600787</v>
      </c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</row>
    <row r="75" spans="1:31">
      <c r="A75" s="399"/>
      <c r="B75" s="322"/>
      <c r="C75" s="322"/>
      <c r="D75" s="322"/>
      <c r="E75" s="400"/>
      <c r="F75" s="133"/>
      <c r="G75" s="156" t="s">
        <v>246</v>
      </c>
      <c r="H75" s="157"/>
      <c r="I75" s="388">
        <f t="shared" ref="I75:N75" si="37">IF(ISERROR(I74/I8),"NA",I74/I8)</f>
        <v>3.0113694561098022E-2</v>
      </c>
      <c r="J75" s="388">
        <f t="shared" si="37"/>
        <v>1.8315686990385785E-2</v>
      </c>
      <c r="K75" s="388">
        <f t="shared" si="37"/>
        <v>1.9066988686920045E-2</v>
      </c>
      <c r="L75" s="389">
        <f t="shared" si="37"/>
        <v>1.6322264211626598E-2</v>
      </c>
      <c r="M75" s="390">
        <f t="shared" si="37"/>
        <v>2.6418969380134428E-2</v>
      </c>
      <c r="N75" s="391">
        <f t="shared" si="37"/>
        <v>2.4227463887365148E-2</v>
      </c>
      <c r="O75" s="133"/>
      <c r="P75" s="180" t="s">
        <v>253</v>
      </c>
      <c r="Q75" s="181"/>
      <c r="R75" s="181"/>
      <c r="S75" s="181"/>
      <c r="T75" s="401">
        <f>IF(ISERROR((S13-E14-E15)/N44),0,(S13-E14-E15)/N44)</f>
        <v>-1.2359882005899705</v>
      </c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</row>
  </sheetData>
  <mergeCells count="3">
    <mergeCell ref="P2:T2"/>
    <mergeCell ref="G60:N61"/>
    <mergeCell ref="G62:N63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9AFB-0BD9-46DC-B3F7-8AA9AF85A549}">
  <dimension ref="A1:AE75"/>
  <sheetViews>
    <sheetView showGridLines="0" zoomScale="85" zoomScaleNormal="85" workbookViewId="0">
      <selection activeCell="U32" sqref="U32"/>
    </sheetView>
  </sheetViews>
  <sheetFormatPr defaultRowHeight="15"/>
  <cols>
    <col min="2" max="2" width="30.5703125" customWidth="1"/>
    <col min="3" max="3" width="9.140625" customWidth="1"/>
    <col min="4" max="4" width="11.140625" customWidth="1"/>
    <col min="5" max="5" width="10.28515625" bestFit="1" customWidth="1"/>
    <col min="8" max="8" width="24.85546875" customWidth="1"/>
    <col min="11" max="11" width="13" customWidth="1"/>
    <col min="12" max="13" width="10.42578125" bestFit="1" customWidth="1"/>
    <col min="17" max="17" width="10.85546875" customWidth="1"/>
    <col min="18" max="18" width="11.140625" bestFit="1" customWidth="1"/>
    <col min="19" max="19" width="18.7109375" customWidth="1"/>
    <col min="20" max="20" width="10" customWidth="1"/>
    <col min="24" max="24" width="12.85546875" customWidth="1"/>
    <col min="26" max="28" width="11.28515625" bestFit="1" customWidth="1"/>
  </cols>
  <sheetData>
    <row r="1" spans="1:31" ht="20.25">
      <c r="A1" s="132" t="str">
        <f>E5&amp;" ("&amp;E7&amp;":"&amp;E6&amp;") Inputs"</f>
        <v>Intel (NASDAQ:INTC) Inputs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/>
      <c r="Q1" s="134"/>
      <c r="R1" s="134"/>
      <c r="S1" s="134"/>
      <c r="T1" s="134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1">
      <c r="A2" s="135" t="str">
        <f>E9&amp;" in millions, except per share data"</f>
        <v>USD in millions, except per share data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471"/>
      <c r="Q2" s="471"/>
      <c r="R2" s="471"/>
      <c r="S2" s="471"/>
      <c r="T2" s="471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1:31" ht="15.75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6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</row>
    <row r="4" spans="1:31">
      <c r="A4" s="137" t="s">
        <v>5</v>
      </c>
      <c r="B4" s="138"/>
      <c r="C4" s="138"/>
      <c r="D4" s="138"/>
      <c r="E4" s="139"/>
      <c r="F4" s="133"/>
      <c r="G4" s="137" t="s">
        <v>83</v>
      </c>
      <c r="H4" s="138"/>
      <c r="I4" s="138"/>
      <c r="J4" s="138"/>
      <c r="K4" s="139"/>
      <c r="L4" s="137"/>
      <c r="M4" s="138"/>
      <c r="N4" s="138"/>
      <c r="O4" s="133"/>
      <c r="P4" s="137" t="s">
        <v>84</v>
      </c>
      <c r="Q4" s="138"/>
      <c r="R4" s="138"/>
      <c r="S4" s="138"/>
      <c r="T4" s="139"/>
      <c r="U4" s="140"/>
      <c r="V4" s="133"/>
      <c r="W4" s="141" t="s">
        <v>85</v>
      </c>
      <c r="X4" s="142"/>
      <c r="Y4" s="142"/>
      <c r="Z4" s="142"/>
      <c r="AA4" s="142"/>
      <c r="AB4" s="142"/>
      <c r="AC4" s="142"/>
      <c r="AD4" s="142"/>
      <c r="AE4" s="143"/>
    </row>
    <row r="5" spans="1:31">
      <c r="A5" s="144" t="s">
        <v>86</v>
      </c>
      <c r="B5" s="133"/>
      <c r="C5" s="133"/>
      <c r="D5" s="145"/>
      <c r="E5" s="402" t="s">
        <v>255</v>
      </c>
      <c r="F5" s="133"/>
      <c r="G5" s="146"/>
      <c r="H5" s="147"/>
      <c r="I5" s="147"/>
      <c r="J5" s="147"/>
      <c r="K5" s="133"/>
      <c r="L5" s="32" t="s">
        <v>88</v>
      </c>
      <c r="M5" s="32" t="s">
        <v>89</v>
      </c>
      <c r="N5" s="148"/>
      <c r="O5" s="133"/>
      <c r="P5" s="144" t="s">
        <v>90</v>
      </c>
      <c r="Q5" s="133"/>
      <c r="R5" s="133"/>
      <c r="S5" s="149">
        <v>45139</v>
      </c>
      <c r="T5" s="150">
        <v>35.799999999999997</v>
      </c>
      <c r="U5" s="140"/>
      <c r="V5" s="151"/>
      <c r="W5" s="409" t="s">
        <v>93</v>
      </c>
      <c r="X5" s="133"/>
      <c r="Y5" s="414" t="s">
        <v>94</v>
      </c>
      <c r="Z5" s="133"/>
      <c r="AA5" s="133"/>
      <c r="AB5" s="133"/>
      <c r="AC5" s="133"/>
      <c r="AD5" s="133"/>
      <c r="AE5" s="148"/>
    </row>
    <row r="6" spans="1:31">
      <c r="A6" s="144" t="s">
        <v>3</v>
      </c>
      <c r="B6" s="133"/>
      <c r="C6" s="133"/>
      <c r="D6" s="145"/>
      <c r="E6" s="402" t="s">
        <v>256</v>
      </c>
      <c r="F6" s="133"/>
      <c r="G6" s="153"/>
      <c r="H6" s="147"/>
      <c r="I6" s="154" t="str">
        <f>"Fiscal Year Ending "&amp;TEXT($E$8,"mmmm d")&amp;","</f>
        <v>Fiscal Year Ending December 31,</v>
      </c>
      <c r="J6" s="154"/>
      <c r="K6" s="154"/>
      <c r="L6" s="32" t="s">
        <v>91</v>
      </c>
      <c r="M6" s="32" t="s">
        <v>91</v>
      </c>
      <c r="N6" s="155" t="s">
        <v>16</v>
      </c>
      <c r="O6" s="133"/>
      <c r="P6" s="156" t="s">
        <v>92</v>
      </c>
      <c r="Q6" s="157"/>
      <c r="R6" s="157"/>
      <c r="S6" s="158"/>
      <c r="T6" s="159">
        <f>+IF(ISERROR(T5/T7),"NA",T5/T7)</f>
        <v>0.88570014844136558</v>
      </c>
      <c r="U6" s="140"/>
      <c r="V6" s="133"/>
      <c r="W6" s="152" t="s">
        <v>98</v>
      </c>
      <c r="X6" s="133"/>
      <c r="Y6" s="407">
        <f>K8</f>
        <v>63054</v>
      </c>
      <c r="Z6" s="410">
        <f>Y6*(1+AB15)</f>
        <v>57151.141941699068</v>
      </c>
      <c r="AA6" s="410">
        <f>Z6*(1+AB15)</f>
        <v>51800.885356047744</v>
      </c>
      <c r="AB6" s="410">
        <f>AA6*(1+AB15)</f>
        <v>46951.497949204895</v>
      </c>
      <c r="AC6" s="133"/>
      <c r="AD6" s="133"/>
      <c r="AE6" s="148"/>
    </row>
    <row r="7" spans="1:31">
      <c r="A7" s="144" t="s">
        <v>95</v>
      </c>
      <c r="B7" s="133"/>
      <c r="C7" s="133"/>
      <c r="D7" s="145"/>
      <c r="E7" s="402" t="s">
        <v>96</v>
      </c>
      <c r="F7" s="133"/>
      <c r="G7" s="152"/>
      <c r="H7" s="160"/>
      <c r="I7" s="161">
        <f>J7-365</f>
        <v>44196</v>
      </c>
      <c r="J7" s="161">
        <f>E8-365</f>
        <v>44561</v>
      </c>
      <c r="K7" s="161">
        <f>E8</f>
        <v>44926</v>
      </c>
      <c r="L7" s="162">
        <f>+M7-364</f>
        <v>44744</v>
      </c>
      <c r="M7" s="163">
        <v>45108</v>
      </c>
      <c r="N7" s="164">
        <f>+M7</f>
        <v>45108</v>
      </c>
      <c r="O7" s="133"/>
      <c r="P7" s="43" t="s">
        <v>97</v>
      </c>
      <c r="Q7" s="133"/>
      <c r="R7" s="133"/>
      <c r="S7" s="165"/>
      <c r="T7" s="166">
        <v>40.42</v>
      </c>
      <c r="U7" s="140"/>
      <c r="V7" s="133"/>
      <c r="W7" s="152" t="s">
        <v>101</v>
      </c>
      <c r="X7" s="133"/>
      <c r="Y7" s="196">
        <f>K9</f>
        <v>36188</v>
      </c>
      <c r="Z7" s="410">
        <f>Z6*(1-$AB$16)</f>
        <v>32800.227179658796</v>
      </c>
      <c r="AA7" s="410">
        <f t="shared" ref="AA7:AB7" si="0">AA6*(1-$AB$16)</f>
        <v>29729.603819974236</v>
      </c>
      <c r="AB7" s="410">
        <f t="shared" si="0"/>
        <v>26946.439683221153</v>
      </c>
      <c r="AC7" s="133"/>
      <c r="AD7" s="133"/>
      <c r="AE7" s="148"/>
    </row>
    <row r="8" spans="1:31">
      <c r="A8" s="144" t="s">
        <v>99</v>
      </c>
      <c r="B8" s="133"/>
      <c r="C8" s="133"/>
      <c r="D8" s="167"/>
      <c r="E8" s="403">
        <v>44926</v>
      </c>
      <c r="F8" s="133"/>
      <c r="G8" s="168" t="s">
        <v>98</v>
      </c>
      <c r="H8" s="169"/>
      <c r="I8" s="170">
        <v>77867</v>
      </c>
      <c r="J8" s="170">
        <v>79024</v>
      </c>
      <c r="K8" s="170">
        <v>63054</v>
      </c>
      <c r="L8" s="171">
        <v>33674</v>
      </c>
      <c r="M8" s="172">
        <v>24664</v>
      </c>
      <c r="N8" s="173">
        <f>K8+M8-L8</f>
        <v>54044</v>
      </c>
      <c r="O8" s="133"/>
      <c r="P8" s="43" t="s">
        <v>100</v>
      </c>
      <c r="Q8" s="133"/>
      <c r="R8" s="133"/>
      <c r="S8" s="165"/>
      <c r="T8" s="166">
        <v>24.59</v>
      </c>
      <c r="U8" s="140"/>
      <c r="V8" s="133"/>
      <c r="W8" s="361" t="s">
        <v>105</v>
      </c>
      <c r="X8" s="133"/>
      <c r="Y8" s="407">
        <f>Y6-Y7</f>
        <v>26866</v>
      </c>
      <c r="Z8" s="410">
        <f>Z6-Z7</f>
        <v>24350.914762040273</v>
      </c>
      <c r="AA8" s="410">
        <f t="shared" ref="AA8:AB8" si="1">AA6-AA7</f>
        <v>22071.281536073508</v>
      </c>
      <c r="AB8" s="410">
        <f t="shared" si="1"/>
        <v>20005.058265983742</v>
      </c>
      <c r="AC8" s="133"/>
      <c r="AD8" s="133"/>
      <c r="AE8" s="148"/>
    </row>
    <row r="9" spans="1:31">
      <c r="A9" s="144" t="s">
        <v>102</v>
      </c>
      <c r="B9" s="133"/>
      <c r="C9" s="133"/>
      <c r="D9" s="133"/>
      <c r="E9" s="402" t="s">
        <v>103</v>
      </c>
      <c r="F9" s="133"/>
      <c r="G9" s="174" t="s">
        <v>101</v>
      </c>
      <c r="H9" s="133"/>
      <c r="I9" s="175">
        <v>34255</v>
      </c>
      <c r="J9" s="175">
        <v>35209</v>
      </c>
      <c r="K9" s="175">
        <v>36188</v>
      </c>
      <c r="L9" s="176">
        <v>18843</v>
      </c>
      <c r="M9" s="177">
        <v>16018</v>
      </c>
      <c r="N9" s="178">
        <f>K9+M9-L9</f>
        <v>33363</v>
      </c>
      <c r="O9" s="179"/>
      <c r="P9" s="43" t="s">
        <v>104</v>
      </c>
      <c r="Q9" s="133"/>
      <c r="R9" s="133"/>
      <c r="S9" s="133"/>
      <c r="T9" s="166">
        <v>1.46</v>
      </c>
      <c r="U9" s="140"/>
      <c r="V9" s="133"/>
      <c r="W9" s="152"/>
      <c r="X9" s="133"/>
      <c r="Y9" s="133"/>
      <c r="Z9" s="133"/>
      <c r="AA9" s="133"/>
      <c r="AB9" s="133"/>
      <c r="AC9" s="133"/>
      <c r="AD9" s="133"/>
      <c r="AE9" s="148"/>
    </row>
    <row r="10" spans="1:31">
      <c r="A10" s="180" t="s">
        <v>106</v>
      </c>
      <c r="B10" s="181"/>
      <c r="C10" s="181"/>
      <c r="D10" s="181"/>
      <c r="E10" s="404">
        <v>0.21</v>
      </c>
      <c r="F10" s="133"/>
      <c r="G10" s="182" t="s">
        <v>105</v>
      </c>
      <c r="H10" s="133"/>
      <c r="I10" s="183">
        <f t="shared" ref="I10:N10" si="2">+I8-I9</f>
        <v>43612</v>
      </c>
      <c r="J10" s="183">
        <f t="shared" si="2"/>
        <v>43815</v>
      </c>
      <c r="K10" s="183">
        <f t="shared" si="2"/>
        <v>26866</v>
      </c>
      <c r="L10" s="184">
        <f t="shared" si="2"/>
        <v>14831</v>
      </c>
      <c r="M10" s="185">
        <f t="shared" si="2"/>
        <v>8646</v>
      </c>
      <c r="N10" s="173">
        <f t="shared" si="2"/>
        <v>20681</v>
      </c>
      <c r="O10" s="133"/>
      <c r="P10" s="186" t="s">
        <v>107</v>
      </c>
      <c r="Q10" s="133"/>
      <c r="R10" s="133"/>
      <c r="S10" s="133"/>
      <c r="T10" s="187">
        <f>+T27</f>
        <v>4310.7</v>
      </c>
      <c r="U10" s="140"/>
      <c r="V10" s="151"/>
      <c r="W10" s="152" t="s">
        <v>110</v>
      </c>
      <c r="X10" s="133"/>
      <c r="Y10" s="196">
        <f>K11</f>
        <v>24532</v>
      </c>
      <c r="Z10" s="410">
        <f>Z6*$AB$17</f>
        <v>22235.414313346679</v>
      </c>
      <c r="AA10" s="410">
        <f t="shared" ref="AA10:AB10" si="3">AA6*$AB$17</f>
        <v>20153.825602730409</v>
      </c>
      <c r="AB10" s="410">
        <f t="shared" si="3"/>
        <v>18267.106728992523</v>
      </c>
      <c r="AC10" s="133"/>
      <c r="AD10" s="133"/>
      <c r="AE10" s="148"/>
    </row>
    <row r="11" spans="1:31">
      <c r="A11" s="133"/>
      <c r="B11" s="133"/>
      <c r="C11" s="133"/>
      <c r="D11" s="145"/>
      <c r="E11" s="145"/>
      <c r="F11" s="133"/>
      <c r="G11" s="174" t="s">
        <v>108</v>
      </c>
      <c r="H11" s="188"/>
      <c r="I11" s="189">
        <f>13556+6180+198</f>
        <v>19934</v>
      </c>
      <c r="J11" s="189">
        <f>15190+6543+2626</f>
        <v>24359</v>
      </c>
      <c r="K11" s="190">
        <f>17528+7002+2</f>
        <v>24532</v>
      </c>
      <c r="L11" s="191">
        <f>8762+3552+-1124</f>
        <v>11190</v>
      </c>
      <c r="M11" s="192">
        <f>8189+2677+264</f>
        <v>11130</v>
      </c>
      <c r="N11" s="193">
        <f>K11+M11-L11</f>
        <v>24472</v>
      </c>
      <c r="O11" s="133"/>
      <c r="P11" s="194" t="s">
        <v>109</v>
      </c>
      <c r="Q11" s="133"/>
      <c r="R11" s="133"/>
      <c r="S11" s="133"/>
      <c r="T11" s="195">
        <f>+T10*T5</f>
        <v>154323.05999999997</v>
      </c>
      <c r="U11" s="140"/>
      <c r="V11" s="196"/>
      <c r="W11" s="361" t="s">
        <v>29</v>
      </c>
      <c r="X11" s="133"/>
      <c r="Y11" s="407">
        <f>Y12+$K$42</f>
        <v>5369</v>
      </c>
      <c r="Z11" s="410">
        <f>Z12+$K$42</f>
        <v>5150.5004486935941</v>
      </c>
      <c r="AA11" s="410">
        <f t="shared" ref="AA11:AB11" si="4">AA12+$K$42</f>
        <v>4952.4559333430989</v>
      </c>
      <c r="AB11" s="410">
        <f t="shared" si="4"/>
        <v>4772.9515369912187</v>
      </c>
      <c r="AC11" s="133"/>
      <c r="AD11" s="133"/>
      <c r="AE11" s="148"/>
    </row>
    <row r="12" spans="1:31">
      <c r="A12" s="137" t="s">
        <v>111</v>
      </c>
      <c r="B12" s="138"/>
      <c r="C12" s="138"/>
      <c r="D12" s="138"/>
      <c r="E12" s="139"/>
      <c r="F12" s="133"/>
      <c r="G12" s="182" t="s">
        <v>112</v>
      </c>
      <c r="H12" s="188"/>
      <c r="I12" s="197">
        <f>I10-I11</f>
        <v>23678</v>
      </c>
      <c r="J12" s="197">
        <f t="shared" ref="J12:N12" si="5">J10-J11</f>
        <v>19456</v>
      </c>
      <c r="K12" s="197">
        <f t="shared" si="5"/>
        <v>2334</v>
      </c>
      <c r="L12" s="198">
        <f t="shared" si="5"/>
        <v>3641</v>
      </c>
      <c r="M12" s="199">
        <f t="shared" si="5"/>
        <v>-2484</v>
      </c>
      <c r="N12" s="200">
        <f t="shared" si="5"/>
        <v>-3791</v>
      </c>
      <c r="O12" s="133"/>
      <c r="P12" s="144"/>
      <c r="Q12" s="133"/>
      <c r="R12" s="133"/>
      <c r="S12" s="133"/>
      <c r="T12" s="201"/>
      <c r="U12" s="133"/>
      <c r="V12" s="202"/>
      <c r="W12" s="406" t="s">
        <v>30</v>
      </c>
      <c r="X12" s="133"/>
      <c r="Y12" s="413">
        <f>Y8-Y10</f>
        <v>2334</v>
      </c>
      <c r="Z12" s="410">
        <f>Z8-Z10</f>
        <v>2115.5004486935941</v>
      </c>
      <c r="AA12" s="410">
        <f t="shared" ref="AA12:AB12" si="6">AA8-AA10</f>
        <v>1917.4559333430989</v>
      </c>
      <c r="AB12" s="410">
        <f t="shared" si="6"/>
        <v>1737.9515369912187</v>
      </c>
      <c r="AC12" s="133"/>
      <c r="AD12" s="133"/>
      <c r="AE12" s="148"/>
    </row>
    <row r="13" spans="1:31">
      <c r="A13" s="204"/>
      <c r="B13" s="205"/>
      <c r="C13" s="205"/>
      <c r="D13" s="206">
        <f>IF(K7=N7,J7,K7)</f>
        <v>44926</v>
      </c>
      <c r="E13" s="207">
        <f>N7</f>
        <v>45108</v>
      </c>
      <c r="F13" s="133"/>
      <c r="G13" s="174" t="s">
        <v>113</v>
      </c>
      <c r="H13" s="188"/>
      <c r="I13" s="208">
        <v>-1904</v>
      </c>
      <c r="J13" s="208">
        <v>-2729</v>
      </c>
      <c r="K13" s="208">
        <v>-4268</v>
      </c>
      <c r="L13" s="209">
        <v>-4233</v>
      </c>
      <c r="M13" s="210">
        <v>-145</v>
      </c>
      <c r="N13" s="193">
        <f>K13+M13-L13</f>
        <v>-180</v>
      </c>
      <c r="O13" s="133"/>
      <c r="P13" s="186" t="s">
        <v>114</v>
      </c>
      <c r="Q13" s="133"/>
      <c r="R13" s="133"/>
      <c r="S13" s="208"/>
      <c r="T13" s="211">
        <f>+IF(ISBLANK(S13),E26,S13)</f>
        <v>46335</v>
      </c>
      <c r="U13" s="140"/>
      <c r="V13" s="133"/>
      <c r="W13" s="203"/>
      <c r="X13" s="133"/>
      <c r="Y13" s="133"/>
      <c r="Z13" s="133"/>
      <c r="AA13" s="133"/>
      <c r="AB13" s="133"/>
      <c r="AC13" s="133"/>
      <c r="AD13" s="133"/>
      <c r="AE13" s="148"/>
    </row>
    <row r="14" spans="1:31" ht="16.5">
      <c r="A14" s="204" t="s">
        <v>115</v>
      </c>
      <c r="B14" s="212"/>
      <c r="C14" s="212"/>
      <c r="D14" s="213">
        <v>11144</v>
      </c>
      <c r="E14" s="214">
        <v>8349</v>
      </c>
      <c r="F14" s="133"/>
      <c r="G14" s="174" t="s">
        <v>116</v>
      </c>
      <c r="H14" s="188"/>
      <c r="I14" s="215">
        <v>504</v>
      </c>
      <c r="J14" s="215">
        <v>482</v>
      </c>
      <c r="K14" s="215">
        <v>-1166</v>
      </c>
      <c r="L14" s="216">
        <v>-878</v>
      </c>
      <c r="M14" s="217">
        <v>-365</v>
      </c>
      <c r="N14" s="178">
        <f>K14+M14-L14</f>
        <v>-653</v>
      </c>
      <c r="O14" s="133"/>
      <c r="P14" s="186" t="s">
        <v>117</v>
      </c>
      <c r="Q14" s="133"/>
      <c r="R14" s="133"/>
      <c r="S14" s="133"/>
      <c r="T14" s="218">
        <f>+E31</f>
        <v>0</v>
      </c>
      <c r="U14" s="140"/>
      <c r="V14" s="133"/>
      <c r="W14" s="405" t="s">
        <v>121</v>
      </c>
      <c r="X14" s="133"/>
      <c r="Y14" s="133"/>
      <c r="Z14" s="133"/>
      <c r="AA14" s="133"/>
      <c r="AB14" s="133"/>
      <c r="AC14" s="133"/>
      <c r="AD14" s="133"/>
      <c r="AE14" s="148"/>
    </row>
    <row r="15" spans="1:31">
      <c r="A15" s="219" t="s">
        <v>118</v>
      </c>
      <c r="B15" s="220"/>
      <c r="C15" s="220"/>
      <c r="D15" s="208">
        <v>17194</v>
      </c>
      <c r="E15" s="221">
        <v>15908</v>
      </c>
      <c r="F15" s="133"/>
      <c r="G15" s="182" t="s">
        <v>119</v>
      </c>
      <c r="H15" s="133"/>
      <c r="I15" s="183">
        <f>I12-SUM(I13:I14)</f>
        <v>25078</v>
      </c>
      <c r="J15" s="183">
        <f t="shared" ref="J15:N15" si="7">J12-SUM(J13:J14)</f>
        <v>21703</v>
      </c>
      <c r="K15" s="183">
        <f t="shared" si="7"/>
        <v>7768</v>
      </c>
      <c r="L15" s="184">
        <f t="shared" si="7"/>
        <v>8752</v>
      </c>
      <c r="M15" s="185">
        <f t="shared" si="7"/>
        <v>-1974</v>
      </c>
      <c r="N15" s="173">
        <f t="shared" si="7"/>
        <v>-2958</v>
      </c>
      <c r="O15" s="133"/>
      <c r="P15" s="186" t="s">
        <v>120</v>
      </c>
      <c r="Q15" s="133"/>
      <c r="R15" s="133"/>
      <c r="S15" s="133"/>
      <c r="T15" s="218">
        <f>+E30</f>
        <v>0</v>
      </c>
      <c r="U15" s="140"/>
      <c r="V15" s="133"/>
      <c r="W15" s="203" t="s">
        <v>125</v>
      </c>
      <c r="X15" s="133"/>
      <c r="Y15" s="411"/>
      <c r="Z15" s="411">
        <f>J8/I8-1</f>
        <v>1.4858669269395275E-2</v>
      </c>
      <c r="AA15" s="411">
        <f t="shared" ref="AA15" si="8">K8/J8-1</f>
        <v>-0.20209050415063778</v>
      </c>
      <c r="AB15" s="412">
        <f>AVERAGE(Z15:AA15)</f>
        <v>-9.3615917440621255E-2</v>
      </c>
      <c r="AC15" s="133"/>
      <c r="AD15" s="133"/>
      <c r="AE15" s="148"/>
    </row>
    <row r="16" spans="1:31">
      <c r="A16" s="219" t="s">
        <v>122</v>
      </c>
      <c r="B16" s="220"/>
      <c r="C16" s="220"/>
      <c r="D16" s="208">
        <v>4133</v>
      </c>
      <c r="E16" s="221">
        <v>2996</v>
      </c>
      <c r="F16" s="133"/>
      <c r="G16" s="222" t="s">
        <v>123</v>
      </c>
      <c r="H16" s="133"/>
      <c r="I16" s="208">
        <v>4179</v>
      </c>
      <c r="J16" s="208">
        <v>1835</v>
      </c>
      <c r="K16" s="208">
        <v>-249</v>
      </c>
      <c r="L16" s="209">
        <v>1093</v>
      </c>
      <c r="M16" s="210">
        <v>-679</v>
      </c>
      <c r="N16" s="193">
        <f>K16+M16-L16</f>
        <v>-2021</v>
      </c>
      <c r="O16" s="133"/>
      <c r="P16" s="186" t="s">
        <v>124</v>
      </c>
      <c r="Q16" s="133"/>
      <c r="R16" s="133"/>
      <c r="S16" s="133"/>
      <c r="T16" s="211">
        <f>-(E14+E15)</f>
        <v>-24257</v>
      </c>
      <c r="U16" s="140"/>
      <c r="V16" s="133"/>
      <c r="W16" s="152" t="s">
        <v>129</v>
      </c>
      <c r="X16" s="133"/>
      <c r="Y16" s="411">
        <f>(I8-I9)/I8</f>
        <v>0.5600832188218372</v>
      </c>
      <c r="Z16" s="411">
        <f t="shared" ref="Z16:AA16" si="9">(J8-J9)/J8</f>
        <v>0.5544518121077141</v>
      </c>
      <c r="AA16" s="411">
        <f t="shared" si="9"/>
        <v>0.42607923367272499</v>
      </c>
      <c r="AB16" s="412">
        <f>AA16</f>
        <v>0.42607923367272499</v>
      </c>
      <c r="AC16" s="133"/>
      <c r="AD16" s="133"/>
      <c r="AE16" s="148"/>
    </row>
    <row r="17" spans="1:31">
      <c r="A17" s="219" t="s">
        <v>126</v>
      </c>
      <c r="B17" s="223"/>
      <c r="C17" s="223"/>
      <c r="D17" s="215">
        <f>13224+4712</f>
        <v>17936</v>
      </c>
      <c r="E17" s="224">
        <f>11984+4119</f>
        <v>16103</v>
      </c>
      <c r="F17" s="133"/>
      <c r="G17" s="222" t="s">
        <v>127</v>
      </c>
      <c r="H17" s="133"/>
      <c r="I17" s="208">
        <v>0</v>
      </c>
      <c r="J17" s="208">
        <v>0</v>
      </c>
      <c r="K17" s="208">
        <v>0</v>
      </c>
      <c r="L17" s="209">
        <v>0</v>
      </c>
      <c r="M17" s="210">
        <v>0</v>
      </c>
      <c r="N17" s="225">
        <f>K17+M17-L17</f>
        <v>0</v>
      </c>
      <c r="O17" s="133"/>
      <c r="P17" s="194" t="s">
        <v>128</v>
      </c>
      <c r="Q17" s="133"/>
      <c r="R17" s="133"/>
      <c r="S17" s="133"/>
      <c r="T17" s="226">
        <f>SUM(T11:T16)</f>
        <v>176401.05999999997</v>
      </c>
      <c r="U17" s="140"/>
      <c r="V17" s="133"/>
      <c r="W17" s="152" t="s">
        <v>257</v>
      </c>
      <c r="X17" s="133"/>
      <c r="Y17" s="411">
        <f>I11/I8</f>
        <v>0.25600061643571731</v>
      </c>
      <c r="Z17" s="411">
        <f t="shared" ref="Z17:AA17" si="10">J11/J8</f>
        <v>0.30824812715124517</v>
      </c>
      <c r="AA17" s="411">
        <f t="shared" si="10"/>
        <v>0.38906334253179814</v>
      </c>
      <c r="AB17" s="412">
        <f t="shared" ref="AB17:AB18" si="11">AA17</f>
        <v>0.38906334253179814</v>
      </c>
      <c r="AC17" s="133"/>
      <c r="AD17" s="133"/>
      <c r="AE17" s="148"/>
    </row>
    <row r="18" spans="1:31">
      <c r="A18" s="227" t="s">
        <v>130</v>
      </c>
      <c r="B18" s="220"/>
      <c r="C18" s="220"/>
      <c r="D18" s="228">
        <f>SUM(D14:D17)</f>
        <v>50407</v>
      </c>
      <c r="E18" s="229">
        <f>SUM(E14:E17)</f>
        <v>43356</v>
      </c>
      <c r="F18" s="133"/>
      <c r="G18" s="222" t="s">
        <v>131</v>
      </c>
      <c r="H18" s="133"/>
      <c r="I18" s="215">
        <v>0</v>
      </c>
      <c r="J18" s="215">
        <v>0</v>
      </c>
      <c r="K18" s="215">
        <v>0</v>
      </c>
      <c r="L18" s="216">
        <v>0</v>
      </c>
      <c r="M18" s="217">
        <v>0</v>
      </c>
      <c r="N18" s="225">
        <f>K18+M18-L18</f>
        <v>0</v>
      </c>
      <c r="O18" s="133"/>
      <c r="P18" s="180"/>
      <c r="Q18" s="181"/>
      <c r="R18" s="181"/>
      <c r="S18" s="181"/>
      <c r="T18" s="230"/>
      <c r="U18" s="140"/>
      <c r="V18" s="133"/>
      <c r="W18" s="152" t="s">
        <v>134</v>
      </c>
      <c r="X18" s="133"/>
      <c r="Y18" s="411">
        <f>I44/I8</f>
        <v>0.4850706974713293</v>
      </c>
      <c r="Z18" s="411">
        <f t="shared" ref="Z18:AA18" si="12">J44/J8</f>
        <v>0.42118849969629479</v>
      </c>
      <c r="AA18" s="411">
        <f t="shared" si="12"/>
        <v>0.13759634598915216</v>
      </c>
      <c r="AB18" s="412">
        <f t="shared" si="11"/>
        <v>0.13759634598915216</v>
      </c>
      <c r="AC18" s="133"/>
      <c r="AD18" s="133"/>
      <c r="AE18" s="148"/>
    </row>
    <row r="19" spans="1:31" ht="15.75" thickBot="1">
      <c r="A19" s="204"/>
      <c r="B19" s="205"/>
      <c r="C19" s="205"/>
      <c r="D19" s="205"/>
      <c r="E19" s="231"/>
      <c r="F19" s="133"/>
      <c r="G19" s="182" t="s">
        <v>133</v>
      </c>
      <c r="H19" s="133"/>
      <c r="I19" s="232">
        <f t="shared" ref="I19:N19" si="13">I15-SUM(I16:I18)</f>
        <v>20899</v>
      </c>
      <c r="J19" s="232">
        <f t="shared" si="13"/>
        <v>19868</v>
      </c>
      <c r="K19" s="232">
        <f t="shared" si="13"/>
        <v>8017</v>
      </c>
      <c r="L19" s="233">
        <f t="shared" si="13"/>
        <v>7659</v>
      </c>
      <c r="M19" s="234">
        <f t="shared" si="13"/>
        <v>-1295</v>
      </c>
      <c r="N19" s="235">
        <f t="shared" si="13"/>
        <v>-937</v>
      </c>
      <c r="O19" s="133"/>
      <c r="P19" s="133"/>
      <c r="Q19" s="133"/>
      <c r="R19" s="133"/>
      <c r="S19" s="133"/>
      <c r="T19" s="133"/>
      <c r="U19" s="140"/>
      <c r="V19" s="133"/>
      <c r="W19" s="152"/>
      <c r="X19" s="133"/>
      <c r="Y19" s="133"/>
      <c r="Z19" s="133"/>
      <c r="AA19" s="133"/>
      <c r="AB19" s="133"/>
      <c r="AC19" s="133"/>
      <c r="AD19" s="133"/>
      <c r="AE19" s="148"/>
    </row>
    <row r="20" spans="1:31" ht="15.75" thickTop="1">
      <c r="A20" s="219" t="s">
        <v>135</v>
      </c>
      <c r="B20" s="236"/>
      <c r="C20" s="236"/>
      <c r="D20" s="208">
        <v>80860</v>
      </c>
      <c r="E20" s="221">
        <v>90945</v>
      </c>
      <c r="F20" s="133"/>
      <c r="G20" s="237" t="s">
        <v>136</v>
      </c>
      <c r="H20" s="133"/>
      <c r="I20" s="238">
        <f t="shared" ref="I20:N20" si="14">IF(OR(I15&lt;0,ISERROR(I16/I15)),"NA",(I16/I15))</f>
        <v>0.16664008294122337</v>
      </c>
      <c r="J20" s="238">
        <f t="shared" si="14"/>
        <v>8.4550522969174771E-2</v>
      </c>
      <c r="K20" s="239">
        <f t="shared" si="14"/>
        <v>-3.2054582904222452E-2</v>
      </c>
      <c r="L20" s="238">
        <f t="shared" si="14"/>
        <v>0.12488574040219379</v>
      </c>
      <c r="M20" s="239" t="str">
        <f t="shared" si="14"/>
        <v>NA</v>
      </c>
      <c r="N20" s="240" t="str">
        <f t="shared" si="14"/>
        <v>NA</v>
      </c>
      <c r="O20" s="133"/>
      <c r="P20" s="137" t="s">
        <v>137</v>
      </c>
      <c r="Q20" s="138"/>
      <c r="R20" s="138"/>
      <c r="S20" s="138"/>
      <c r="T20" s="139"/>
      <c r="U20" s="140"/>
      <c r="V20" s="133"/>
      <c r="W20" s="152"/>
      <c r="X20" s="133"/>
      <c r="Y20" s="133"/>
      <c r="Z20" s="133"/>
      <c r="AA20" s="133"/>
      <c r="AB20" s="133"/>
      <c r="AC20" s="133"/>
      <c r="AD20" s="133"/>
      <c r="AE20" s="148"/>
    </row>
    <row r="21" spans="1:31">
      <c r="A21" s="219" t="s">
        <v>138</v>
      </c>
      <c r="B21" s="220"/>
      <c r="C21" s="220"/>
      <c r="D21" s="208">
        <f>27591+6018</f>
        <v>33609</v>
      </c>
      <c r="E21" s="241">
        <f>27591+5173</f>
        <v>32764</v>
      </c>
      <c r="F21" s="133"/>
      <c r="G21" s="152" t="s">
        <v>139</v>
      </c>
      <c r="H21" s="133"/>
      <c r="I21" s="208">
        <v>4232</v>
      </c>
      <c r="J21" s="208">
        <v>4090</v>
      </c>
      <c r="K21" s="208">
        <v>4123</v>
      </c>
      <c r="L21" s="209">
        <v>4120</v>
      </c>
      <c r="M21" s="210">
        <v>4168</v>
      </c>
      <c r="N21" s="193">
        <f>+IF(ISERROR(K21+M21-L21),"NA",K21+M21-L21)</f>
        <v>4171</v>
      </c>
      <c r="O21" s="133"/>
      <c r="P21" s="242" t="s">
        <v>140</v>
      </c>
      <c r="Q21" s="243"/>
      <c r="R21" s="243"/>
      <c r="S21" s="243"/>
      <c r="T21" s="221">
        <v>4137</v>
      </c>
      <c r="U21" s="140"/>
      <c r="V21" s="133"/>
      <c r="W21" s="152"/>
      <c r="X21" s="133"/>
      <c r="Y21" s="133"/>
      <c r="Z21" s="133"/>
      <c r="AA21" s="133"/>
      <c r="AB21" s="133"/>
      <c r="AC21" s="133"/>
      <c r="AD21" s="133"/>
      <c r="AE21" s="148"/>
    </row>
    <row r="22" spans="1:31">
      <c r="A22" s="219" t="s">
        <v>141</v>
      </c>
      <c r="B22" s="236"/>
      <c r="C22" s="236"/>
      <c r="D22" s="215">
        <f>5912+11315</f>
        <v>17227</v>
      </c>
      <c r="E22" s="244">
        <f>5893+12671</f>
        <v>18564</v>
      </c>
      <c r="F22" s="133"/>
      <c r="G22" s="245" t="s">
        <v>142</v>
      </c>
      <c r="H22" s="246"/>
      <c r="I22" s="247">
        <f>IF(ISERROR(I19/I21),"NA",I19/I21)</f>
        <v>4.9383270321361055</v>
      </c>
      <c r="J22" s="247">
        <f>+IF(ISERROR(J19/J21),"NA",J19/J21)</f>
        <v>4.8577017114914423</v>
      </c>
      <c r="K22" s="247">
        <f>+IF(ISERROR(K19/K21),"NA",K19/K21)</f>
        <v>1.944457918991026</v>
      </c>
      <c r="L22" s="248">
        <f>+IF(ISERROR(L19/L21),"NA",L19/L21)</f>
        <v>1.8589805825242718</v>
      </c>
      <c r="M22" s="249">
        <f>+IF(ISERROR(M19/M21),"NA",M19/M21)</f>
        <v>-0.31070057581573896</v>
      </c>
      <c r="N22" s="250">
        <f>+IF(ISERROR(K22+M22-L22),"NA",K22+M22-L22)</f>
        <v>-0.22522323934898481</v>
      </c>
      <c r="O22" s="133"/>
      <c r="P22" s="242" t="s">
        <v>143</v>
      </c>
      <c r="Q22" s="243"/>
      <c r="R22" s="243"/>
      <c r="S22" s="243"/>
      <c r="T22" s="211">
        <f>+S37</f>
        <v>0</v>
      </c>
      <c r="U22" s="140"/>
      <c r="V22" s="133"/>
      <c r="W22" s="152"/>
      <c r="X22" s="133"/>
      <c r="Y22" s="133"/>
      <c r="Z22" s="133"/>
      <c r="AA22" s="133"/>
      <c r="AB22" s="133"/>
      <c r="AC22" s="133"/>
      <c r="AD22" s="133"/>
      <c r="AE22" s="148"/>
    </row>
    <row r="23" spans="1:31">
      <c r="A23" s="227" t="s">
        <v>144</v>
      </c>
      <c r="B23" s="220"/>
      <c r="C23" s="220"/>
      <c r="D23" s="251">
        <f>SUM(D18:D22)</f>
        <v>182103</v>
      </c>
      <c r="E23" s="252">
        <f>SUM(E18:E22)</f>
        <v>185629</v>
      </c>
      <c r="F23" s="133"/>
      <c r="G23" s="253"/>
      <c r="H23" s="181"/>
      <c r="I23" s="181"/>
      <c r="J23" s="181"/>
      <c r="K23" s="181"/>
      <c r="L23" s="181"/>
      <c r="M23" s="181"/>
      <c r="N23" s="254"/>
      <c r="O23" s="133"/>
      <c r="P23" s="242" t="s">
        <v>145</v>
      </c>
      <c r="Q23" s="243"/>
      <c r="R23" s="243"/>
      <c r="S23" s="243"/>
      <c r="T23" s="211">
        <f>IF(ISERROR(-T37/T5),0,-T37/T5)</f>
        <v>0</v>
      </c>
      <c r="U23" s="140"/>
      <c r="V23" s="133"/>
      <c r="W23" s="152"/>
      <c r="X23" s="133"/>
      <c r="Y23" s="133"/>
      <c r="Z23" s="133"/>
      <c r="AA23" s="133"/>
      <c r="AB23" s="133"/>
      <c r="AC23" s="133"/>
      <c r="AD23" s="133"/>
      <c r="AE23" s="148"/>
    </row>
    <row r="24" spans="1:31">
      <c r="A24" s="204"/>
      <c r="B24" s="205"/>
      <c r="C24" s="205"/>
      <c r="D24" s="205"/>
      <c r="E24" s="231"/>
      <c r="F24" s="133"/>
      <c r="G24" s="137" t="s">
        <v>146</v>
      </c>
      <c r="H24" s="138"/>
      <c r="I24" s="138"/>
      <c r="J24" s="138"/>
      <c r="K24" s="139"/>
      <c r="L24" s="137"/>
      <c r="M24" s="138"/>
      <c r="N24" s="138"/>
      <c r="O24" s="133"/>
      <c r="P24" s="255" t="s">
        <v>147</v>
      </c>
      <c r="Q24" s="256"/>
      <c r="R24" s="256"/>
      <c r="S24" s="256"/>
      <c r="T24" s="257">
        <f>IF(ISERROR(T22+T23),0,T22+T23)</f>
        <v>0</v>
      </c>
      <c r="U24" s="140"/>
      <c r="V24" s="133"/>
      <c r="W24" s="152"/>
      <c r="X24" s="133"/>
      <c r="Y24" s="133"/>
      <c r="Z24" s="133"/>
      <c r="AA24" s="133"/>
      <c r="AB24" s="133"/>
      <c r="AC24" s="133"/>
      <c r="AD24" s="133"/>
      <c r="AE24" s="148"/>
    </row>
    <row r="25" spans="1:31">
      <c r="A25" s="258" t="s">
        <v>148</v>
      </c>
      <c r="B25" s="236"/>
      <c r="C25" s="236"/>
      <c r="D25" s="259">
        <v>32155</v>
      </c>
      <c r="E25" s="260">
        <v>27180</v>
      </c>
      <c r="F25" s="261"/>
      <c r="G25" s="152"/>
      <c r="H25" s="133"/>
      <c r="I25" s="147"/>
      <c r="J25" s="147"/>
      <c r="K25" s="133"/>
      <c r="L25" s="32" t="s">
        <v>88</v>
      </c>
      <c r="M25" s="32" t="s">
        <v>89</v>
      </c>
      <c r="N25" s="148"/>
      <c r="O25" s="133"/>
      <c r="P25" s="186" t="s">
        <v>149</v>
      </c>
      <c r="Q25" s="243"/>
      <c r="R25" s="243"/>
      <c r="S25" s="243"/>
      <c r="T25" s="262">
        <f>+T44</f>
        <v>0</v>
      </c>
      <c r="U25" s="140"/>
      <c r="V25" s="133"/>
      <c r="W25" s="152"/>
      <c r="X25" s="133"/>
      <c r="Y25" s="133"/>
      <c r="Z25" s="133"/>
      <c r="AA25" s="133"/>
      <c r="AB25" s="133"/>
      <c r="AC25" s="133"/>
      <c r="AD25" s="133"/>
      <c r="AE25" s="148"/>
    </row>
    <row r="26" spans="1:31">
      <c r="A26" s="258" t="s">
        <v>150</v>
      </c>
      <c r="B26" s="220"/>
      <c r="C26" s="220"/>
      <c r="D26" s="208">
        <v>37684</v>
      </c>
      <c r="E26" s="221">
        <v>46335</v>
      </c>
      <c r="F26" s="133"/>
      <c r="G26" s="152"/>
      <c r="H26" s="133"/>
      <c r="I26" s="154" t="str">
        <f>"Fiscal Year Ending "&amp;TEXT($E$8,"mmmm d")&amp;","</f>
        <v>Fiscal Year Ending December 31,</v>
      </c>
      <c r="J26" s="154"/>
      <c r="K26" s="154"/>
      <c r="L26" s="32" t="s">
        <v>91</v>
      </c>
      <c r="M26" s="32" t="s">
        <v>91</v>
      </c>
      <c r="N26" s="155" t="s">
        <v>16</v>
      </c>
      <c r="O26" s="133"/>
      <c r="P26" s="186" t="s">
        <v>151</v>
      </c>
      <c r="Q26" s="243"/>
      <c r="R26" s="243"/>
      <c r="S26" s="243"/>
      <c r="T26" s="224">
        <f>15+158.7</f>
        <v>173.7</v>
      </c>
      <c r="U26" s="140"/>
      <c r="V26" s="133"/>
      <c r="W26" s="152"/>
      <c r="X26" s="133"/>
      <c r="Y26" s="133"/>
      <c r="Z26" s="133"/>
      <c r="AA26" s="133"/>
      <c r="AB26" s="133"/>
      <c r="AC26" s="133"/>
      <c r="AD26" s="133"/>
      <c r="AE26" s="148"/>
    </row>
    <row r="27" spans="1:31">
      <c r="A27" s="258" t="s">
        <v>152</v>
      </c>
      <c r="B27" s="263"/>
      <c r="C27" s="263"/>
      <c r="D27" s="215">
        <v>8978</v>
      </c>
      <c r="E27" s="244">
        <v>7643</v>
      </c>
      <c r="F27" s="133"/>
      <c r="G27" s="264"/>
      <c r="H27" s="134"/>
      <c r="I27" s="161">
        <f t="shared" ref="I27:N27" si="15">+I7</f>
        <v>44196</v>
      </c>
      <c r="J27" s="161">
        <f t="shared" si="15"/>
        <v>44561</v>
      </c>
      <c r="K27" s="161">
        <f t="shared" si="15"/>
        <v>44926</v>
      </c>
      <c r="L27" s="162">
        <f t="shared" si="15"/>
        <v>44744</v>
      </c>
      <c r="M27" s="163">
        <f t="shared" si="15"/>
        <v>45108</v>
      </c>
      <c r="N27" s="164">
        <f t="shared" si="15"/>
        <v>45108</v>
      </c>
      <c r="O27" s="151"/>
      <c r="P27" s="255" t="s">
        <v>153</v>
      </c>
      <c r="Q27" s="243"/>
      <c r="R27" s="243"/>
      <c r="S27" s="243"/>
      <c r="T27" s="265">
        <f>T21+SUM(T24:T26)</f>
        <v>4310.7</v>
      </c>
      <c r="U27" s="140"/>
      <c r="V27" s="133"/>
      <c r="W27" s="152"/>
      <c r="X27" s="133"/>
      <c r="Y27" s="133"/>
      <c r="Z27" s="133"/>
      <c r="AA27" s="133"/>
      <c r="AB27" s="133"/>
      <c r="AC27" s="133"/>
      <c r="AD27" s="133"/>
      <c r="AE27" s="148"/>
    </row>
    <row r="28" spans="1:31">
      <c r="A28" s="227" t="s">
        <v>154</v>
      </c>
      <c r="B28" s="205"/>
      <c r="C28" s="205"/>
      <c r="D28" s="228">
        <f>D25+SUM(D26:D27)</f>
        <v>78817</v>
      </c>
      <c r="E28" s="229">
        <f>E25+SUM(E26:E27)</f>
        <v>81158</v>
      </c>
      <c r="F28" s="151"/>
      <c r="G28" s="152" t="s">
        <v>155</v>
      </c>
      <c r="H28" s="133"/>
      <c r="I28" s="266">
        <f t="shared" ref="I28:N28" si="16">I10</f>
        <v>43612</v>
      </c>
      <c r="J28" s="266">
        <f t="shared" si="16"/>
        <v>43815</v>
      </c>
      <c r="K28" s="266">
        <f t="shared" si="16"/>
        <v>26866</v>
      </c>
      <c r="L28" s="267">
        <f t="shared" si="16"/>
        <v>14831</v>
      </c>
      <c r="M28" s="268">
        <f t="shared" si="16"/>
        <v>8646</v>
      </c>
      <c r="N28" s="269">
        <f t="shared" si="16"/>
        <v>20681</v>
      </c>
      <c r="O28" s="133"/>
      <c r="P28" s="144"/>
      <c r="Q28" s="133"/>
      <c r="R28" s="133"/>
      <c r="S28" s="133"/>
      <c r="T28" s="201"/>
      <c r="U28" s="133"/>
      <c r="V28" s="133"/>
      <c r="W28" s="152"/>
      <c r="X28" s="133"/>
      <c r="Y28" s="133"/>
      <c r="Z28" s="133"/>
      <c r="AA28" s="133"/>
      <c r="AB28" s="133"/>
      <c r="AC28" s="133"/>
      <c r="AD28" s="133"/>
      <c r="AE28" s="148"/>
    </row>
    <row r="29" spans="1:31">
      <c r="A29" s="204"/>
      <c r="B29" s="205"/>
      <c r="C29" s="205"/>
      <c r="D29" s="270"/>
      <c r="E29" s="271"/>
      <c r="F29" s="151"/>
      <c r="G29" s="152" t="s">
        <v>156</v>
      </c>
      <c r="H29" s="133"/>
      <c r="I29" s="215">
        <v>0</v>
      </c>
      <c r="J29" s="215">
        <v>0</v>
      </c>
      <c r="K29" s="215">
        <v>0</v>
      </c>
      <c r="L29" s="216">
        <v>0</v>
      </c>
      <c r="M29" s="217">
        <v>0</v>
      </c>
      <c r="N29" s="178">
        <f>K29+M29-L29</f>
        <v>0</v>
      </c>
      <c r="O29" s="272"/>
      <c r="P29" s="273" t="s">
        <v>157</v>
      </c>
      <c r="Q29" s="274"/>
      <c r="R29" s="274"/>
      <c r="S29" s="274"/>
      <c r="T29" s="275"/>
      <c r="U29" s="140"/>
      <c r="V29" s="133"/>
      <c r="W29" s="152"/>
      <c r="X29" s="133"/>
      <c r="Y29" s="133"/>
      <c r="Z29" s="133"/>
      <c r="AA29" s="133"/>
      <c r="AB29" s="133"/>
      <c r="AC29" s="133"/>
      <c r="AD29" s="133"/>
      <c r="AE29" s="148"/>
    </row>
    <row r="30" spans="1:31">
      <c r="A30" s="276" t="s">
        <v>127</v>
      </c>
      <c r="B30" s="277"/>
      <c r="C30" s="277"/>
      <c r="D30" s="208">
        <v>0</v>
      </c>
      <c r="E30" s="241"/>
      <c r="F30" s="133"/>
      <c r="G30" s="182" t="s">
        <v>158</v>
      </c>
      <c r="H30" s="133"/>
      <c r="I30" s="183">
        <f t="shared" ref="I30:N30" si="17">SUM(I28:I29)</f>
        <v>43612</v>
      </c>
      <c r="J30" s="183">
        <f t="shared" si="17"/>
        <v>43815</v>
      </c>
      <c r="K30" s="183">
        <f t="shared" si="17"/>
        <v>26866</v>
      </c>
      <c r="L30" s="184">
        <f t="shared" si="17"/>
        <v>14831</v>
      </c>
      <c r="M30" s="185">
        <f t="shared" si="17"/>
        <v>8646</v>
      </c>
      <c r="N30" s="173">
        <f t="shared" si="17"/>
        <v>20681</v>
      </c>
      <c r="O30" s="133"/>
      <c r="P30" s="278"/>
      <c r="Q30" s="32" t="s">
        <v>159</v>
      </c>
      <c r="R30" s="32" t="s">
        <v>160</v>
      </c>
      <c r="S30" s="32" t="s">
        <v>161</v>
      </c>
      <c r="T30" s="279"/>
      <c r="U30" s="280"/>
      <c r="V30" s="133"/>
      <c r="W30" s="152"/>
      <c r="X30" s="133"/>
      <c r="Y30" s="133"/>
      <c r="Z30" s="133"/>
      <c r="AA30" s="133"/>
      <c r="AB30" s="133"/>
      <c r="AC30" s="133"/>
      <c r="AD30" s="133"/>
      <c r="AE30" s="148"/>
    </row>
    <row r="31" spans="1:31">
      <c r="A31" s="258" t="s">
        <v>162</v>
      </c>
      <c r="B31" s="223"/>
      <c r="C31" s="223"/>
      <c r="D31" s="208">
        <v>0</v>
      </c>
      <c r="E31" s="241">
        <v>0</v>
      </c>
      <c r="F31" s="133"/>
      <c r="G31" s="281" t="s">
        <v>163</v>
      </c>
      <c r="H31" s="157"/>
      <c r="I31" s="282">
        <f t="shared" ref="I31:N31" si="18">IF(ISERROR(I30/I8),"NA",I30/I8)</f>
        <v>0.5600832188218372</v>
      </c>
      <c r="J31" s="282">
        <f t="shared" si="18"/>
        <v>0.5544518121077141</v>
      </c>
      <c r="K31" s="282">
        <f t="shared" si="18"/>
        <v>0.42607923367272499</v>
      </c>
      <c r="L31" s="283">
        <f t="shared" si="18"/>
        <v>0.44042881748530022</v>
      </c>
      <c r="M31" s="284">
        <f t="shared" si="18"/>
        <v>0.35055141096334741</v>
      </c>
      <c r="N31" s="285">
        <f t="shared" si="18"/>
        <v>0.38266967655984013</v>
      </c>
      <c r="O31" s="133"/>
      <c r="P31" s="286" t="s">
        <v>164</v>
      </c>
      <c r="Q31" s="287" t="s">
        <v>165</v>
      </c>
      <c r="R31" s="287" t="s">
        <v>24</v>
      </c>
      <c r="S31" s="287" t="s">
        <v>165</v>
      </c>
      <c r="T31" s="288" t="s">
        <v>166</v>
      </c>
      <c r="U31" s="140"/>
      <c r="V31" s="133"/>
      <c r="W31" s="152"/>
      <c r="X31" s="133"/>
      <c r="Y31" s="133"/>
      <c r="Z31" s="133"/>
      <c r="AA31" s="133"/>
      <c r="AB31" s="133"/>
      <c r="AC31" s="133"/>
      <c r="AD31" s="133"/>
      <c r="AE31" s="148"/>
    </row>
    <row r="32" spans="1:31">
      <c r="A32" s="258" t="s">
        <v>167</v>
      </c>
      <c r="B32" s="289"/>
      <c r="C32" s="289"/>
      <c r="D32" s="215">
        <v>103286</v>
      </c>
      <c r="E32" s="244">
        <v>104471</v>
      </c>
      <c r="F32" s="133"/>
      <c r="G32" s="152"/>
      <c r="H32" s="133"/>
      <c r="I32" s="133"/>
      <c r="J32" s="133"/>
      <c r="K32" s="290"/>
      <c r="L32" s="291"/>
      <c r="M32" s="292"/>
      <c r="N32" s="293"/>
      <c r="O32" s="133"/>
      <c r="P32" s="43" t="s">
        <v>168</v>
      </c>
      <c r="Q32" s="294">
        <v>0</v>
      </c>
      <c r="R32" s="295">
        <v>0</v>
      </c>
      <c r="S32" s="296">
        <f>+IF(R32&lt;$T$5,Q32,0)</f>
        <v>0</v>
      </c>
      <c r="T32" s="297">
        <f>IF(S32="NA","NA",S32*R32)</f>
        <v>0</v>
      </c>
      <c r="U32" s="140"/>
      <c r="V32" s="133"/>
      <c r="W32" s="152"/>
      <c r="X32" s="133"/>
      <c r="Y32" s="133"/>
      <c r="Z32" s="133"/>
      <c r="AA32" s="133"/>
      <c r="AB32" s="133"/>
      <c r="AC32" s="133"/>
      <c r="AD32" s="133"/>
      <c r="AE32" s="148"/>
    </row>
    <row r="33" spans="1:31">
      <c r="A33" s="227" t="s">
        <v>169</v>
      </c>
      <c r="B33" s="289"/>
      <c r="C33" s="289"/>
      <c r="D33" s="251">
        <f>D28+SUM(D30:D32)</f>
        <v>182103</v>
      </c>
      <c r="E33" s="252">
        <f>E28+SUM(E30:E32)</f>
        <v>185629</v>
      </c>
      <c r="F33" s="133"/>
      <c r="G33" s="152" t="s">
        <v>170</v>
      </c>
      <c r="H33" s="133"/>
      <c r="I33" s="266">
        <f t="shared" ref="I33:N33" si="19">I12</f>
        <v>23678</v>
      </c>
      <c r="J33" s="266">
        <f t="shared" si="19"/>
        <v>19456</v>
      </c>
      <c r="K33" s="266">
        <f t="shared" si="19"/>
        <v>2334</v>
      </c>
      <c r="L33" s="267">
        <f t="shared" si="19"/>
        <v>3641</v>
      </c>
      <c r="M33" s="268">
        <f t="shared" si="19"/>
        <v>-2484</v>
      </c>
      <c r="N33" s="269">
        <f t="shared" si="19"/>
        <v>-3791</v>
      </c>
      <c r="O33" s="133"/>
      <c r="P33" s="43" t="s">
        <v>171</v>
      </c>
      <c r="Q33" s="294">
        <v>0</v>
      </c>
      <c r="R33" s="298">
        <v>0</v>
      </c>
      <c r="S33" s="296">
        <f>+IF(R33&lt;$T$5,Q33,0)</f>
        <v>0</v>
      </c>
      <c r="T33" s="299">
        <f>IF(S33="NA","NA",S33*R33)</f>
        <v>0</v>
      </c>
      <c r="U33" s="140"/>
      <c r="V33" s="133"/>
      <c r="W33" s="152"/>
      <c r="X33" s="133"/>
      <c r="Y33" s="133"/>
      <c r="Z33" s="133"/>
      <c r="AA33" s="133"/>
      <c r="AB33" s="133"/>
      <c r="AC33" s="133"/>
      <c r="AD33" s="133"/>
      <c r="AE33" s="148"/>
    </row>
    <row r="34" spans="1:31">
      <c r="A34" s="204"/>
      <c r="B34" s="205"/>
      <c r="C34" s="205"/>
      <c r="D34" s="205"/>
      <c r="E34" s="231"/>
      <c r="F34" s="151"/>
      <c r="G34" s="152" t="s">
        <v>172</v>
      </c>
      <c r="H34" s="133"/>
      <c r="I34" s="208">
        <v>0</v>
      </c>
      <c r="J34" s="208">
        <v>0</v>
      </c>
      <c r="K34" s="208">
        <v>0</v>
      </c>
      <c r="L34" s="209">
        <v>0</v>
      </c>
      <c r="M34" s="210">
        <v>0</v>
      </c>
      <c r="N34" s="225">
        <f t="shared" ref="N34" si="20">N29</f>
        <v>0</v>
      </c>
      <c r="O34" s="133"/>
      <c r="P34" s="43" t="s">
        <v>173</v>
      </c>
      <c r="Q34" s="294">
        <v>0</v>
      </c>
      <c r="R34" s="298">
        <v>0</v>
      </c>
      <c r="S34" s="296">
        <f>+IF(R34&lt;$T$5,Q34,0)</f>
        <v>0</v>
      </c>
      <c r="T34" s="300">
        <f>IF(S34="NA","NA",S34*R34)</f>
        <v>0</v>
      </c>
      <c r="U34" s="140"/>
      <c r="V34" s="133"/>
      <c r="W34" s="152"/>
      <c r="X34" s="133"/>
      <c r="Y34" s="133"/>
      <c r="Z34" s="133"/>
      <c r="AA34" s="133"/>
      <c r="AB34" s="133"/>
      <c r="AC34" s="133"/>
      <c r="AD34" s="133"/>
      <c r="AE34" s="148"/>
    </row>
    <row r="35" spans="1:31">
      <c r="A35" s="301" t="s">
        <v>174</v>
      </c>
      <c r="B35" s="302"/>
      <c r="C35" s="302"/>
      <c r="D35" s="303">
        <f>D23-D33</f>
        <v>0</v>
      </c>
      <c r="E35" s="304">
        <f>E23-E33</f>
        <v>0</v>
      </c>
      <c r="F35" s="133"/>
      <c r="G35" s="152" t="s">
        <v>175</v>
      </c>
      <c r="H35" s="133"/>
      <c r="I35" s="208">
        <v>0</v>
      </c>
      <c r="J35" s="208">
        <v>0</v>
      </c>
      <c r="K35" s="208">
        <v>179</v>
      </c>
      <c r="L35" s="209">
        <v>0</v>
      </c>
      <c r="M35" s="210">
        <v>0</v>
      </c>
      <c r="N35" s="225">
        <f>K35+M35-L35</f>
        <v>179</v>
      </c>
      <c r="O35" s="272"/>
      <c r="P35" s="43" t="s">
        <v>176</v>
      </c>
      <c r="Q35" s="294">
        <v>0</v>
      </c>
      <c r="R35" s="298">
        <v>0</v>
      </c>
      <c r="S35" s="296">
        <f>+IF(R35&lt;$T$5,Q35,0)</f>
        <v>0</v>
      </c>
      <c r="T35" s="300">
        <f>IF(S35="NA","NA",S35*R35)</f>
        <v>0</v>
      </c>
      <c r="U35" s="140"/>
      <c r="V35" s="133"/>
      <c r="W35" s="152"/>
      <c r="X35" s="133"/>
      <c r="Y35" s="133"/>
      <c r="Z35" s="133"/>
      <c r="AA35" s="133"/>
      <c r="AB35" s="133"/>
      <c r="AC35" s="133"/>
      <c r="AD35" s="133"/>
      <c r="AE35" s="148"/>
    </row>
    <row r="36" spans="1:31">
      <c r="A36" s="133"/>
      <c r="B36" s="133"/>
      <c r="C36" s="133"/>
      <c r="D36" s="133"/>
      <c r="E36" s="133"/>
      <c r="F36" s="151"/>
      <c r="G36" s="152" t="s">
        <v>177</v>
      </c>
      <c r="H36" s="133"/>
      <c r="I36" s="208">
        <v>0</v>
      </c>
      <c r="J36" s="208">
        <v>0</v>
      </c>
      <c r="K36" s="208">
        <v>0</v>
      </c>
      <c r="L36" s="209">
        <v>0</v>
      </c>
      <c r="M36" s="210">
        <v>0</v>
      </c>
      <c r="N36" s="305">
        <f>K36+M36-L36</f>
        <v>0</v>
      </c>
      <c r="O36" s="306"/>
      <c r="P36" s="43" t="s">
        <v>178</v>
      </c>
      <c r="Q36" s="307">
        <v>0</v>
      </c>
      <c r="R36" s="308">
        <v>0</v>
      </c>
      <c r="S36" s="309">
        <f>+IF(R36&lt;$T$5,Q36,0)</f>
        <v>0</v>
      </c>
      <c r="T36" s="310">
        <f>IF(S36="NA","NA",S36*R36)</f>
        <v>0</v>
      </c>
      <c r="U36" s="140"/>
      <c r="V36" s="133"/>
      <c r="W36" s="152"/>
      <c r="X36" s="133"/>
      <c r="Y36" s="133"/>
      <c r="Z36" s="133"/>
      <c r="AA36" s="133"/>
      <c r="AB36" s="133"/>
      <c r="AC36" s="133"/>
      <c r="AD36" s="133"/>
      <c r="AE36" s="148"/>
    </row>
    <row r="37" spans="1:31">
      <c r="A37" s="137" t="s">
        <v>179</v>
      </c>
      <c r="B37" s="138"/>
      <c r="C37" s="138"/>
      <c r="D37" s="138"/>
      <c r="E37" s="139"/>
      <c r="F37" s="133"/>
      <c r="G37" s="152" t="s">
        <v>180</v>
      </c>
      <c r="H37" s="133"/>
      <c r="I37" s="311">
        <f t="shared" ref="I37:N37" si="21">+I72</f>
        <v>1854</v>
      </c>
      <c r="J37" s="311">
        <f t="shared" si="21"/>
        <v>2036</v>
      </c>
      <c r="K37" s="311">
        <f t="shared" si="21"/>
        <v>3128</v>
      </c>
      <c r="L37" s="312">
        <f t="shared" si="21"/>
        <v>1599</v>
      </c>
      <c r="M37" s="313">
        <f t="shared" si="21"/>
        <v>1661</v>
      </c>
      <c r="N37" s="314">
        <f t="shared" si="21"/>
        <v>3190</v>
      </c>
      <c r="O37" s="147"/>
      <c r="P37" s="315" t="s">
        <v>181</v>
      </c>
      <c r="Q37" s="316">
        <f>SUM(Q32:Q36)</f>
        <v>0</v>
      </c>
      <c r="R37" s="317"/>
      <c r="S37" s="316">
        <f>SUM(S32:S36)</f>
        <v>0</v>
      </c>
      <c r="T37" s="195">
        <f>SUM(T32:T36)</f>
        <v>0</v>
      </c>
      <c r="U37" s="133"/>
      <c r="V37" s="133"/>
      <c r="W37" s="152"/>
      <c r="X37" s="133"/>
      <c r="Y37" s="133"/>
      <c r="Z37" s="133"/>
      <c r="AA37" s="133"/>
      <c r="AB37" s="133"/>
      <c r="AC37" s="133"/>
      <c r="AD37" s="133"/>
      <c r="AE37" s="148"/>
    </row>
    <row r="38" spans="1:31">
      <c r="A38" s="318" t="s">
        <v>182</v>
      </c>
      <c r="B38" s="205"/>
      <c r="C38" s="133"/>
      <c r="D38" s="133"/>
      <c r="E38" s="319">
        <f>EOMONTH(E8,12)</f>
        <v>45291</v>
      </c>
      <c r="F38" s="320"/>
      <c r="G38" s="152" t="s">
        <v>183</v>
      </c>
      <c r="H38" s="133"/>
      <c r="I38" s="215">
        <v>0</v>
      </c>
      <c r="J38" s="215">
        <v>0</v>
      </c>
      <c r="K38" s="215">
        <v>0</v>
      </c>
      <c r="L38" s="216">
        <v>0</v>
      </c>
      <c r="M38" s="217">
        <v>0</v>
      </c>
      <c r="N38" s="321">
        <f>K38+M38-L38</f>
        <v>0</v>
      </c>
      <c r="O38" s="147"/>
      <c r="P38" s="273" t="s">
        <v>184</v>
      </c>
      <c r="Q38" s="274"/>
      <c r="R38" s="274"/>
      <c r="S38" s="274"/>
      <c r="T38" s="275"/>
      <c r="U38" s="133"/>
      <c r="V38" s="133"/>
      <c r="W38" s="152"/>
      <c r="X38" s="133"/>
      <c r="Y38" s="133"/>
      <c r="Z38" s="133"/>
      <c r="AA38" s="133"/>
      <c r="AB38" s="133"/>
      <c r="AC38" s="133"/>
      <c r="AD38" s="133"/>
      <c r="AE38" s="148"/>
    </row>
    <row r="39" spans="1:31">
      <c r="A39" s="318" t="s">
        <v>185</v>
      </c>
      <c r="B39" s="133"/>
      <c r="C39" s="290" t="s">
        <v>186</v>
      </c>
      <c r="D39" s="322" t="s">
        <v>187</v>
      </c>
      <c r="E39" s="241">
        <f>Z6</f>
        <v>57151.141941699068</v>
      </c>
      <c r="F39" s="133"/>
      <c r="G39" s="182" t="s">
        <v>188</v>
      </c>
      <c r="H39" s="133"/>
      <c r="I39" s="183">
        <f>SUM(I33:I38)+I29</f>
        <v>25532</v>
      </c>
      <c r="J39" s="183">
        <f t="shared" ref="J39:N39" si="22">SUM(J33:J38)+J29</f>
        <v>21492</v>
      </c>
      <c r="K39" s="183">
        <f t="shared" si="22"/>
        <v>5641</v>
      </c>
      <c r="L39" s="184">
        <f t="shared" si="22"/>
        <v>5240</v>
      </c>
      <c r="M39" s="185">
        <f t="shared" si="22"/>
        <v>-823</v>
      </c>
      <c r="N39" s="173">
        <f t="shared" si="22"/>
        <v>-422</v>
      </c>
      <c r="O39" s="147"/>
      <c r="P39" s="323"/>
      <c r="Q39" s="32"/>
      <c r="R39" s="324" t="s">
        <v>189</v>
      </c>
      <c r="S39" s="324" t="s">
        <v>190</v>
      </c>
      <c r="T39" s="325" t="s">
        <v>191</v>
      </c>
      <c r="U39" s="133"/>
      <c r="V39" s="133"/>
      <c r="W39" s="152"/>
      <c r="X39" s="133"/>
      <c r="Y39" s="133"/>
      <c r="Z39" s="133"/>
      <c r="AA39" s="133"/>
      <c r="AB39" s="133"/>
      <c r="AC39" s="133"/>
      <c r="AD39" s="133"/>
      <c r="AE39" s="148"/>
    </row>
    <row r="40" spans="1:31">
      <c r="A40" s="318" t="s">
        <v>192</v>
      </c>
      <c r="B40" s="133"/>
      <c r="C40" s="133"/>
      <c r="D40" s="326" t="s">
        <v>193</v>
      </c>
      <c r="E40" s="241">
        <f>Z11</f>
        <v>5150.5004486935941</v>
      </c>
      <c r="F40" s="133"/>
      <c r="G40" s="281" t="s">
        <v>163</v>
      </c>
      <c r="H40" s="157"/>
      <c r="I40" s="282">
        <f t="shared" ref="I40:N40" si="23">IF(ISERROR(I39/I8),"NA",I39/I8)</f>
        <v>0.32789243196732892</v>
      </c>
      <c r="J40" s="282">
        <f t="shared" si="23"/>
        <v>0.27196800971856649</v>
      </c>
      <c r="K40" s="282">
        <f t="shared" si="23"/>
        <v>8.9462999968281151E-2</v>
      </c>
      <c r="L40" s="283">
        <f t="shared" si="23"/>
        <v>0.15560966918097049</v>
      </c>
      <c r="M40" s="284">
        <f t="shared" si="23"/>
        <v>-3.3368472267272138E-2</v>
      </c>
      <c r="N40" s="285">
        <f t="shared" si="23"/>
        <v>-7.8084523721412185E-3</v>
      </c>
      <c r="O40" s="147"/>
      <c r="P40" s="323"/>
      <c r="Q40" s="287" t="s">
        <v>194</v>
      </c>
      <c r="R40" s="327" t="s">
        <v>24</v>
      </c>
      <c r="S40" s="327" t="s">
        <v>195</v>
      </c>
      <c r="T40" s="328" t="s">
        <v>165</v>
      </c>
      <c r="U40" s="133"/>
      <c r="V40" s="133"/>
      <c r="W40" s="152"/>
      <c r="X40" s="133"/>
      <c r="Y40" s="133"/>
      <c r="Z40" s="133"/>
      <c r="AA40" s="133"/>
      <c r="AB40" s="133"/>
      <c r="AC40" s="133"/>
      <c r="AD40" s="133"/>
      <c r="AE40" s="148"/>
    </row>
    <row r="41" spans="1:31">
      <c r="A41" s="318" t="s">
        <v>196</v>
      </c>
      <c r="B41" s="133"/>
      <c r="C41" s="133"/>
      <c r="D41" s="322"/>
      <c r="E41" s="241">
        <f>Z12</f>
        <v>2115.5004486935941</v>
      </c>
      <c r="F41" s="133"/>
      <c r="G41" s="152"/>
      <c r="H41" s="133"/>
      <c r="I41" s="133"/>
      <c r="J41" s="133"/>
      <c r="K41" s="290"/>
      <c r="L41" s="291"/>
      <c r="M41" s="292"/>
      <c r="N41" s="293"/>
      <c r="O41" s="147"/>
      <c r="P41" s="323" t="s">
        <v>197</v>
      </c>
      <c r="Q41" s="294">
        <v>0</v>
      </c>
      <c r="R41" s="295">
        <v>0</v>
      </c>
      <c r="S41" s="329">
        <f>IF(ISERROR(1000/R41),0,(1000/R41))</f>
        <v>0</v>
      </c>
      <c r="T41" s="300">
        <f>+IF(R41&lt;$T$5,IF(ISERROR(Q41/R41),0,Q41/R41),0)</f>
        <v>0</v>
      </c>
      <c r="U41" s="133"/>
      <c r="V41" s="133"/>
      <c r="W41" s="152"/>
      <c r="X41" s="133"/>
      <c r="Y41" s="133"/>
      <c r="Z41" s="133"/>
      <c r="AA41" s="133"/>
      <c r="AB41" s="133"/>
      <c r="AC41" s="133"/>
      <c r="AD41" s="133"/>
      <c r="AE41" s="148"/>
    </row>
    <row r="42" spans="1:31">
      <c r="A42" s="318" t="s">
        <v>198</v>
      </c>
      <c r="B42" s="133"/>
      <c r="C42" s="133"/>
      <c r="D42" s="326"/>
      <c r="E42" s="330">
        <v>0.63</v>
      </c>
      <c r="F42" s="133"/>
      <c r="G42" s="152" t="s">
        <v>199</v>
      </c>
      <c r="H42" s="133"/>
      <c r="I42" s="311">
        <f t="shared" ref="I42:N42" si="24">+I70</f>
        <v>12239</v>
      </c>
      <c r="J42" s="311">
        <f t="shared" si="24"/>
        <v>11792</v>
      </c>
      <c r="K42" s="311">
        <f t="shared" si="24"/>
        <v>3035</v>
      </c>
      <c r="L42" s="312">
        <f t="shared" si="24"/>
        <v>6496</v>
      </c>
      <c r="M42" s="313">
        <f t="shared" si="24"/>
        <v>4642</v>
      </c>
      <c r="N42" s="314">
        <f t="shared" si="24"/>
        <v>1181</v>
      </c>
      <c r="O42" s="133"/>
      <c r="P42" s="323" t="s">
        <v>200</v>
      </c>
      <c r="Q42" s="294">
        <v>0</v>
      </c>
      <c r="R42" s="298">
        <v>0</v>
      </c>
      <c r="S42" s="329">
        <f>IF(ISERROR(1000/R42),0,(1000/R42))</f>
        <v>0</v>
      </c>
      <c r="T42" s="300">
        <f>+IF(R42&lt;$T$5,IF(ISERROR(Q42/R42),0,Q42/R42),0)</f>
        <v>0</v>
      </c>
      <c r="U42" s="133"/>
      <c r="V42" s="133"/>
      <c r="W42" s="152"/>
      <c r="X42" s="133"/>
      <c r="Y42" s="133"/>
      <c r="Z42" s="133"/>
      <c r="AA42" s="133"/>
      <c r="AB42" s="133"/>
      <c r="AC42" s="133"/>
      <c r="AD42" s="133"/>
      <c r="AE42" s="148"/>
    </row>
    <row r="43" spans="1:31">
      <c r="A43" s="144"/>
      <c r="B43" s="133"/>
      <c r="C43" s="133"/>
      <c r="D43" s="133"/>
      <c r="E43" s="201"/>
      <c r="F43" s="133"/>
      <c r="G43" s="152" t="s">
        <v>201</v>
      </c>
      <c r="H43" s="133"/>
      <c r="I43" s="215">
        <v>0</v>
      </c>
      <c r="J43" s="215">
        <v>0</v>
      </c>
      <c r="K43" s="215">
        <v>0</v>
      </c>
      <c r="L43" s="216">
        <v>0</v>
      </c>
      <c r="M43" s="217">
        <v>0</v>
      </c>
      <c r="N43" s="331">
        <f>K43+M43-L43</f>
        <v>0</v>
      </c>
      <c r="O43" s="133"/>
      <c r="P43" s="323" t="s">
        <v>202</v>
      </c>
      <c r="Q43" s="294">
        <v>0</v>
      </c>
      <c r="R43" s="298">
        <v>0</v>
      </c>
      <c r="S43" s="329">
        <f>IF(ISERROR(1000/R43),0,(1000/R43))</f>
        <v>0</v>
      </c>
      <c r="T43" s="300">
        <f>+IF(R43&lt;$T$5,IF(ISERROR(Q43/R43),0,Q43/R43),0)</f>
        <v>0</v>
      </c>
      <c r="U43" s="133"/>
      <c r="V43" s="133"/>
      <c r="W43" s="152"/>
      <c r="X43" s="133"/>
      <c r="Y43" s="133"/>
      <c r="Z43" s="133"/>
      <c r="AA43" s="133"/>
      <c r="AB43" s="133"/>
      <c r="AC43" s="133"/>
      <c r="AD43" s="133"/>
      <c r="AE43" s="148"/>
    </row>
    <row r="44" spans="1:31">
      <c r="A44" s="318" t="s">
        <v>182</v>
      </c>
      <c r="B44" s="133"/>
      <c r="C44" s="133"/>
      <c r="D44" s="133"/>
      <c r="E44" s="319">
        <f>EOMONTH(E38,12)</f>
        <v>45657</v>
      </c>
      <c r="F44" s="133"/>
      <c r="G44" s="182" t="s">
        <v>203</v>
      </c>
      <c r="H44" s="133"/>
      <c r="I44" s="183">
        <f t="shared" ref="I44:N44" si="25">+I39+SUM(I42:I43)</f>
        <v>37771</v>
      </c>
      <c r="J44" s="183">
        <f t="shared" si="25"/>
        <v>33284</v>
      </c>
      <c r="K44" s="183">
        <f t="shared" si="25"/>
        <v>8676</v>
      </c>
      <c r="L44" s="184">
        <f t="shared" si="25"/>
        <v>11736</v>
      </c>
      <c r="M44" s="185">
        <f t="shared" si="25"/>
        <v>3819</v>
      </c>
      <c r="N44" s="173">
        <f t="shared" si="25"/>
        <v>759</v>
      </c>
      <c r="O44" s="133"/>
      <c r="P44" s="332" t="s">
        <v>181</v>
      </c>
      <c r="Q44" s="333"/>
      <c r="R44" s="334"/>
      <c r="S44" s="333"/>
      <c r="T44" s="335">
        <f>SUM(T41:T43)</f>
        <v>0</v>
      </c>
      <c r="U44" s="133"/>
      <c r="V44" s="133"/>
      <c r="W44" s="152"/>
      <c r="X44" s="133"/>
      <c r="Y44" s="133"/>
      <c r="Z44" s="133"/>
      <c r="AA44" s="133"/>
      <c r="AB44" s="133"/>
      <c r="AC44" s="133"/>
      <c r="AD44" s="133"/>
      <c r="AE44" s="148"/>
    </row>
    <row r="45" spans="1:31">
      <c r="A45" s="318" t="s">
        <v>204</v>
      </c>
      <c r="B45" s="133"/>
      <c r="C45" s="290" t="s">
        <v>186</v>
      </c>
      <c r="D45" s="322" t="s">
        <v>187</v>
      </c>
      <c r="E45" s="241">
        <f>AA6</f>
        <v>51800.885356047744</v>
      </c>
      <c r="F45" s="133"/>
      <c r="G45" s="281" t="s">
        <v>163</v>
      </c>
      <c r="H45" s="157"/>
      <c r="I45" s="282">
        <f t="shared" ref="I45:N45" si="26">IF(ISERROR(I44/I8),"NA",I44/I8)</f>
        <v>0.4850706974713293</v>
      </c>
      <c r="J45" s="282">
        <f t="shared" si="26"/>
        <v>0.42118849969629479</v>
      </c>
      <c r="K45" s="282">
        <f t="shared" si="26"/>
        <v>0.13759634598915216</v>
      </c>
      <c r="L45" s="283">
        <f t="shared" si="26"/>
        <v>0.34851814456257052</v>
      </c>
      <c r="M45" s="284">
        <f t="shared" si="26"/>
        <v>0.15484106389879987</v>
      </c>
      <c r="N45" s="285">
        <f t="shared" si="26"/>
        <v>1.4044112204870106E-2</v>
      </c>
      <c r="O45" s="133"/>
      <c r="P45" s="336"/>
      <c r="Q45" s="337"/>
      <c r="R45" s="338"/>
      <c r="S45" s="329"/>
      <c r="T45" s="329"/>
      <c r="U45" s="133"/>
      <c r="V45" s="133"/>
      <c r="W45" s="152"/>
      <c r="X45" s="133"/>
      <c r="Y45" s="133"/>
      <c r="Z45" s="133"/>
      <c r="AA45" s="133"/>
      <c r="AB45" s="133"/>
      <c r="AC45" s="133"/>
      <c r="AD45" s="133"/>
      <c r="AE45" s="148"/>
    </row>
    <row r="46" spans="1:31">
      <c r="A46" s="318" t="s">
        <v>205</v>
      </c>
      <c r="B46" s="133"/>
      <c r="C46" s="133"/>
      <c r="D46" s="326" t="s">
        <v>193</v>
      </c>
      <c r="E46" s="241">
        <f>AA11</f>
        <v>4952.4559333430989</v>
      </c>
      <c r="F46" s="133"/>
      <c r="G46" s="152"/>
      <c r="H46" s="133"/>
      <c r="I46" s="133"/>
      <c r="J46" s="133"/>
      <c r="K46" s="339"/>
      <c r="L46" s="133"/>
      <c r="M46" s="339"/>
      <c r="N46" s="148"/>
      <c r="O46" s="133"/>
      <c r="P46" s="137" t="s">
        <v>206</v>
      </c>
      <c r="Q46" s="138"/>
      <c r="R46" s="138"/>
      <c r="S46" s="138"/>
      <c r="T46" s="139"/>
      <c r="U46" s="133"/>
      <c r="V46" s="133"/>
      <c r="W46" s="152"/>
      <c r="X46" s="133"/>
      <c r="Y46" s="133"/>
      <c r="Z46" s="133"/>
      <c r="AA46" s="133"/>
      <c r="AB46" s="133"/>
      <c r="AC46" s="133"/>
      <c r="AD46" s="133"/>
      <c r="AE46" s="148"/>
    </row>
    <row r="47" spans="1:31">
      <c r="A47" s="318" t="s">
        <v>207</v>
      </c>
      <c r="B47" s="133"/>
      <c r="C47" s="133"/>
      <c r="D47" s="322"/>
      <c r="E47" s="241">
        <f>AA12</f>
        <v>1917.4559333430989</v>
      </c>
      <c r="F47" s="133"/>
      <c r="G47" s="152" t="s">
        <v>208</v>
      </c>
      <c r="H47" s="133"/>
      <c r="I47" s="266">
        <f t="shared" ref="I47:N47" si="27">I19</f>
        <v>20899</v>
      </c>
      <c r="J47" s="266">
        <f t="shared" si="27"/>
        <v>19868</v>
      </c>
      <c r="K47" s="266">
        <f t="shared" si="27"/>
        <v>8017</v>
      </c>
      <c r="L47" s="267">
        <f t="shared" si="27"/>
        <v>7659</v>
      </c>
      <c r="M47" s="268">
        <f t="shared" si="27"/>
        <v>-1295</v>
      </c>
      <c r="N47" s="269">
        <f t="shared" si="27"/>
        <v>-937</v>
      </c>
      <c r="O47" s="133"/>
      <c r="P47" s="144"/>
      <c r="Q47" s="133"/>
      <c r="R47" s="32" t="str">
        <f>N6</f>
        <v>LTM</v>
      </c>
      <c r="S47" s="32" t="s">
        <v>209</v>
      </c>
      <c r="T47" s="279" t="s">
        <v>210</v>
      </c>
      <c r="U47" s="140"/>
      <c r="V47" s="133"/>
      <c r="W47" s="152"/>
      <c r="X47" s="133"/>
      <c r="Y47" s="133"/>
      <c r="Z47" s="133"/>
      <c r="AA47" s="133"/>
      <c r="AB47" s="133"/>
      <c r="AC47" s="133"/>
      <c r="AD47" s="133"/>
      <c r="AE47" s="148"/>
    </row>
    <row r="48" spans="1:31">
      <c r="A48" s="318" t="s">
        <v>211</v>
      </c>
      <c r="B48" s="133"/>
      <c r="C48" s="133"/>
      <c r="D48" s="326"/>
      <c r="E48" s="330">
        <v>1.73</v>
      </c>
      <c r="F48" s="133"/>
      <c r="G48" s="152" t="s">
        <v>156</v>
      </c>
      <c r="H48" s="133"/>
      <c r="I48" s="340">
        <f t="shared" ref="I48:N48" si="28">I29</f>
        <v>0</v>
      </c>
      <c r="J48" s="340">
        <f t="shared" si="28"/>
        <v>0</v>
      </c>
      <c r="K48" s="340">
        <f t="shared" si="28"/>
        <v>0</v>
      </c>
      <c r="L48" s="341">
        <f t="shared" si="28"/>
        <v>0</v>
      </c>
      <c r="M48" s="342">
        <f t="shared" si="28"/>
        <v>0</v>
      </c>
      <c r="N48" s="305">
        <f t="shared" si="28"/>
        <v>0</v>
      </c>
      <c r="O48" s="133"/>
      <c r="P48" s="144"/>
      <c r="Q48" s="133"/>
      <c r="R48" s="287">
        <f>N7</f>
        <v>45108</v>
      </c>
      <c r="S48" s="343">
        <f>+D68</f>
        <v>45291</v>
      </c>
      <c r="T48" s="344">
        <f>S48+365</f>
        <v>45656</v>
      </c>
      <c r="U48" s="140"/>
      <c r="V48" s="133"/>
      <c r="W48" s="152"/>
      <c r="X48" s="133"/>
      <c r="Y48" s="133"/>
      <c r="Z48" s="133"/>
      <c r="AA48" s="133"/>
      <c r="AB48" s="133"/>
      <c r="AC48" s="133"/>
      <c r="AD48" s="133"/>
      <c r="AE48" s="148"/>
    </row>
    <row r="49" spans="1:31">
      <c r="A49" s="144"/>
      <c r="B49" s="133"/>
      <c r="C49" s="133"/>
      <c r="D49" s="133"/>
      <c r="E49" s="201"/>
      <c r="F49" s="133"/>
      <c r="G49" s="152" t="s">
        <v>212</v>
      </c>
      <c r="H49" s="133"/>
      <c r="I49" s="296">
        <f>+SUM(I34:I38)</f>
        <v>1854</v>
      </c>
      <c r="J49" s="296">
        <f t="shared" ref="J49:N49" si="29">+SUM(J34:J38)</f>
        <v>2036</v>
      </c>
      <c r="K49" s="345">
        <f t="shared" si="29"/>
        <v>3307</v>
      </c>
      <c r="L49" s="296">
        <f t="shared" si="29"/>
        <v>1599</v>
      </c>
      <c r="M49" s="345">
        <f t="shared" si="29"/>
        <v>1661</v>
      </c>
      <c r="N49" s="346">
        <f t="shared" si="29"/>
        <v>3369</v>
      </c>
      <c r="O49" s="133"/>
      <c r="P49" s="144" t="s">
        <v>213</v>
      </c>
      <c r="Q49" s="133"/>
      <c r="R49" s="347">
        <f>IF(ISERROR(T17/N8),"NA",T17/N8)</f>
        <v>3.2640267189697276</v>
      </c>
      <c r="S49" s="347">
        <f t="shared" ref="S49:T51" si="30">IF(ISERROR($T$17/D69),"NA",$T$17/D69)</f>
        <v>3.086571046645926</v>
      </c>
      <c r="T49" s="348">
        <f t="shared" si="30"/>
        <v>3.4053676648097131</v>
      </c>
      <c r="U49" s="140"/>
      <c r="V49" s="133"/>
      <c r="W49" s="152"/>
      <c r="X49" s="133"/>
      <c r="Y49" s="133"/>
      <c r="Z49" s="133"/>
      <c r="AA49" s="133"/>
      <c r="AB49" s="133"/>
      <c r="AC49" s="133"/>
      <c r="AD49" s="133"/>
      <c r="AE49" s="148"/>
    </row>
    <row r="50" spans="1:31">
      <c r="A50" s="318" t="s">
        <v>182</v>
      </c>
      <c r="B50" s="133"/>
      <c r="C50" s="133"/>
      <c r="D50" s="133"/>
      <c r="E50" s="319">
        <f>EOMONTH(E44,12)</f>
        <v>46022</v>
      </c>
      <c r="F50" s="133"/>
      <c r="G50" s="152" t="s">
        <v>214</v>
      </c>
      <c r="H50" s="133"/>
      <c r="I50" s="208">
        <v>0</v>
      </c>
      <c r="J50" s="208">
        <v>0</v>
      </c>
      <c r="K50" s="208">
        <v>0</v>
      </c>
      <c r="L50" s="209">
        <v>0</v>
      </c>
      <c r="M50" s="210">
        <v>0</v>
      </c>
      <c r="N50" s="346">
        <f t="shared" ref="N50" si="31">+N43</f>
        <v>0</v>
      </c>
      <c r="O50" s="306"/>
      <c r="P50" s="144" t="s">
        <v>69</v>
      </c>
      <c r="Q50" s="133"/>
      <c r="R50" s="347">
        <f>IF(ISERROR($T$17/N44),"NA",T17/N44)</f>
        <v>232.41246376811591</v>
      </c>
      <c r="S50" s="347">
        <f t="shared" si="30"/>
        <v>34.249304850510882</v>
      </c>
      <c r="T50" s="348">
        <f t="shared" si="30"/>
        <v>35.61890552369286</v>
      </c>
      <c r="U50" s="140"/>
      <c r="V50" s="133"/>
      <c r="W50" s="152"/>
      <c r="X50" s="133"/>
      <c r="Y50" s="133"/>
      <c r="Z50" s="133"/>
      <c r="AA50" s="133"/>
      <c r="AB50" s="133"/>
      <c r="AC50" s="133"/>
      <c r="AD50" s="133"/>
      <c r="AE50" s="148"/>
    </row>
    <row r="51" spans="1:31">
      <c r="A51" s="318" t="s">
        <v>215</v>
      </c>
      <c r="B51" s="133"/>
      <c r="C51" s="290" t="s">
        <v>186</v>
      </c>
      <c r="D51" s="322" t="s">
        <v>187</v>
      </c>
      <c r="E51" s="241">
        <f>AB6</f>
        <v>46951.497949204895</v>
      </c>
      <c r="F51" s="133"/>
      <c r="G51" s="152" t="s">
        <v>216</v>
      </c>
      <c r="H51" s="133"/>
      <c r="I51" s="296">
        <f t="shared" ref="I51:N51" si="32">-(SUM(I48:I50)*($E$10))</f>
        <v>-389.34</v>
      </c>
      <c r="J51" s="296">
        <f t="shared" si="32"/>
        <v>-427.56</v>
      </c>
      <c r="K51" s="345">
        <f t="shared" si="32"/>
        <v>-694.47</v>
      </c>
      <c r="L51" s="296">
        <f t="shared" si="32"/>
        <v>-335.78999999999996</v>
      </c>
      <c r="M51" s="345">
        <f t="shared" si="32"/>
        <v>-348.81</v>
      </c>
      <c r="N51" s="346">
        <f t="shared" si="32"/>
        <v>-707.49</v>
      </c>
      <c r="O51" s="133"/>
      <c r="P51" s="144" t="s">
        <v>70</v>
      </c>
      <c r="Q51" s="133"/>
      <c r="R51" s="347">
        <f>IF(ISERROR($T$17/N39),"NA",T17/N39)</f>
        <v>-418.01199052132694</v>
      </c>
      <c r="S51" s="347">
        <f t="shared" si="30"/>
        <v>83.385026039079619</v>
      </c>
      <c r="T51" s="348">
        <f t="shared" si="30"/>
        <v>91.997451900990185</v>
      </c>
      <c r="U51" s="140"/>
      <c r="V51" s="133"/>
      <c r="W51" s="152"/>
      <c r="X51" s="133"/>
      <c r="Y51" s="133"/>
      <c r="Z51" s="133"/>
      <c r="AA51" s="133"/>
      <c r="AB51" s="133"/>
      <c r="AC51" s="133"/>
      <c r="AD51" s="133"/>
      <c r="AE51" s="148"/>
    </row>
    <row r="52" spans="1:31" ht="15.75" thickBot="1">
      <c r="A52" s="318" t="s">
        <v>217</v>
      </c>
      <c r="B52" s="133"/>
      <c r="C52" s="133"/>
      <c r="D52" s="326" t="s">
        <v>193</v>
      </c>
      <c r="E52" s="241">
        <f>AB11</f>
        <v>4772.9515369912187</v>
      </c>
      <c r="F52" s="133"/>
      <c r="G52" s="182" t="s">
        <v>218</v>
      </c>
      <c r="H52" s="133"/>
      <c r="I52" s="232">
        <f t="shared" ref="I52:N52" si="33">SUM(I47:I51)</f>
        <v>22363.66</v>
      </c>
      <c r="J52" s="232">
        <f t="shared" si="33"/>
        <v>21476.44</v>
      </c>
      <c r="K52" s="232">
        <f t="shared" si="33"/>
        <v>10629.53</v>
      </c>
      <c r="L52" s="233">
        <f t="shared" si="33"/>
        <v>8922.2099999999991</v>
      </c>
      <c r="M52" s="234">
        <f t="shared" si="33"/>
        <v>17.189999999999998</v>
      </c>
      <c r="N52" s="235">
        <f t="shared" si="33"/>
        <v>1724.51</v>
      </c>
      <c r="O52" s="133"/>
      <c r="P52" s="144" t="s">
        <v>72</v>
      </c>
      <c r="Q52" s="133"/>
      <c r="R52" s="347">
        <f>IF(ISERROR($T$5/N57),"NA",T5/N57)</f>
        <v>86.587958318594843</v>
      </c>
      <c r="S52" s="347">
        <f>IF(ISERROR($T$5/D72),"NA",$T$5/D72)</f>
        <v>56.825396825396822</v>
      </c>
      <c r="T52" s="348">
        <f>IF(ISERROR($T$5/E72),"NA",$T$5/E72)</f>
        <v>20.693641618497107</v>
      </c>
      <c r="U52" s="140"/>
      <c r="V52" s="133"/>
      <c r="W52" s="349"/>
      <c r="X52" s="350"/>
      <c r="Y52" s="350"/>
      <c r="Z52" s="350"/>
      <c r="AA52" s="350"/>
      <c r="AB52" s="350"/>
      <c r="AC52" s="350"/>
      <c r="AD52" s="350"/>
      <c r="AE52" s="351"/>
    </row>
    <row r="53" spans="1:31" ht="15.75" thickTop="1">
      <c r="A53" s="318" t="s">
        <v>219</v>
      </c>
      <c r="B53" s="133"/>
      <c r="C53" s="133"/>
      <c r="D53" s="322"/>
      <c r="E53" s="241">
        <f>AB12</f>
        <v>1737.9515369912187</v>
      </c>
      <c r="F53" s="133"/>
      <c r="G53" s="281" t="s">
        <v>163</v>
      </c>
      <c r="H53" s="157"/>
      <c r="I53" s="282">
        <f t="shared" ref="I53:N53" si="34">IF(ISERROR(I52/I8),"NA",I52/I8)</f>
        <v>0.28720330820501622</v>
      </c>
      <c r="J53" s="282">
        <f t="shared" si="34"/>
        <v>0.27177110751164202</v>
      </c>
      <c r="K53" s="282">
        <f t="shared" si="34"/>
        <v>0.1685782028102896</v>
      </c>
      <c r="L53" s="283">
        <f t="shared" si="34"/>
        <v>0.26495842489754706</v>
      </c>
      <c r="M53" s="284">
        <f t="shared" si="34"/>
        <v>6.9696723970158925E-4</v>
      </c>
      <c r="N53" s="285">
        <f t="shared" si="34"/>
        <v>3.1909370142846567E-2</v>
      </c>
      <c r="O53" s="133"/>
      <c r="P53" s="180" t="s">
        <v>220</v>
      </c>
      <c r="Q53" s="181"/>
      <c r="R53" s="347">
        <f>IF(ISERROR($T$11/(N73-N74)),"NA",($T$11/(N73-N74)))</f>
        <v>-9.3286018255455456</v>
      </c>
      <c r="S53" s="352"/>
      <c r="T53" s="353"/>
      <c r="U53" s="140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</row>
    <row r="54" spans="1:31">
      <c r="A54" s="318" t="s">
        <v>221</v>
      </c>
      <c r="B54" s="133"/>
      <c r="C54" s="133"/>
      <c r="D54" s="326"/>
      <c r="E54" s="330">
        <v>2.42</v>
      </c>
      <c r="F54" s="133"/>
      <c r="G54" s="152"/>
      <c r="H54" s="133"/>
      <c r="I54" s="290"/>
      <c r="J54" s="290"/>
      <c r="K54" s="290"/>
      <c r="L54" s="291"/>
      <c r="M54" s="292"/>
      <c r="N54" s="293"/>
      <c r="O54" s="133"/>
      <c r="P54" s="137" t="s">
        <v>222</v>
      </c>
      <c r="Q54" s="138"/>
      <c r="R54" s="138"/>
      <c r="S54" s="138"/>
      <c r="T54" s="139"/>
      <c r="U54" s="140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</row>
    <row r="55" spans="1:31">
      <c r="A55" s="144"/>
      <c r="B55" s="133"/>
      <c r="C55" s="133"/>
      <c r="D55" s="133"/>
      <c r="E55" s="201"/>
      <c r="F55" s="133"/>
      <c r="G55" s="152" t="s">
        <v>223</v>
      </c>
      <c r="H55" s="133"/>
      <c r="I55" s="208">
        <v>0</v>
      </c>
      <c r="J55" s="208">
        <v>0</v>
      </c>
      <c r="K55" s="208">
        <v>0</v>
      </c>
      <c r="L55" s="209">
        <v>0</v>
      </c>
      <c r="M55" s="210">
        <v>0</v>
      </c>
      <c r="N55" s="193">
        <f>+IF(ISERROR(K55+M55-L55),"NA",K55+M55-L55)</f>
        <v>0</v>
      </c>
      <c r="O55" s="354"/>
      <c r="P55" s="355" t="s">
        <v>224</v>
      </c>
      <c r="Q55" s="356"/>
      <c r="R55" s="356"/>
      <c r="S55" s="356"/>
      <c r="T55" s="357"/>
      <c r="U55" s="140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</row>
    <row r="56" spans="1:31">
      <c r="A56" s="318" t="s">
        <v>225</v>
      </c>
      <c r="B56" s="133"/>
      <c r="C56" s="133"/>
      <c r="D56" s="133"/>
      <c r="E56" s="358">
        <f>MAX(0,D68-E38)</f>
        <v>0</v>
      </c>
      <c r="F56" s="133"/>
      <c r="G56" s="152" t="s">
        <v>226</v>
      </c>
      <c r="H56" s="133"/>
      <c r="I56" s="208">
        <v>0</v>
      </c>
      <c r="J56" s="208">
        <v>0</v>
      </c>
      <c r="K56" s="208">
        <v>0</v>
      </c>
      <c r="L56" s="209">
        <v>0</v>
      </c>
      <c r="M56" s="210">
        <v>0</v>
      </c>
      <c r="N56" s="193">
        <f>+IF(ISERROR(K56+M56-L56),"NA",K56+M56-L56)</f>
        <v>0</v>
      </c>
      <c r="O56" s="354"/>
      <c r="P56" s="144"/>
      <c r="Q56" s="133"/>
      <c r="R56" s="359" t="s">
        <v>28</v>
      </c>
      <c r="S56" s="359" t="s">
        <v>29</v>
      </c>
      <c r="T56" s="360" t="s">
        <v>31</v>
      </c>
      <c r="U56" s="140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</row>
    <row r="57" spans="1:31">
      <c r="A57" s="318" t="s">
        <v>227</v>
      </c>
      <c r="B57" s="133"/>
      <c r="C57" s="133"/>
      <c r="D57" s="133"/>
      <c r="E57" s="358">
        <f>MAX(0,E38-D68)</f>
        <v>0</v>
      </c>
      <c r="F57" s="133"/>
      <c r="G57" s="361" t="s">
        <v>228</v>
      </c>
      <c r="H57" s="133"/>
      <c r="I57" s="362">
        <f>IF(ISERROR((I52+I55)/(I21+I56)),0,((I52+I55)/(I21+I56)))</f>
        <v>5.2844187145557653</v>
      </c>
      <c r="J57" s="362">
        <f t="shared" ref="J57:N57" si="35">IF(ISERROR((J52+J55)/(J21+J56)),0,((J52+J55)/(J21+J56)))</f>
        <v>5.2509633251833741</v>
      </c>
      <c r="K57" s="362">
        <f t="shared" si="35"/>
        <v>2.5781057482415717</v>
      </c>
      <c r="L57" s="363">
        <f t="shared" si="35"/>
        <v>2.1655849514563106</v>
      </c>
      <c r="M57" s="364">
        <f t="shared" si="35"/>
        <v>4.1242802303262946E-3</v>
      </c>
      <c r="N57" s="365">
        <f t="shared" si="35"/>
        <v>0.41345240949412609</v>
      </c>
      <c r="O57" s="354"/>
      <c r="P57" s="366" t="s">
        <v>229</v>
      </c>
      <c r="Q57" s="133"/>
      <c r="R57" s="133"/>
      <c r="S57" s="133"/>
      <c r="T57" s="201"/>
      <c r="U57" s="140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</row>
    <row r="58" spans="1:31">
      <c r="A58" s="318" t="s">
        <v>230</v>
      </c>
      <c r="B58" s="367"/>
      <c r="C58" s="367"/>
      <c r="D58" s="367"/>
      <c r="E58" s="368">
        <f>IF(E57&gt;0,E57/365,0)</f>
        <v>0</v>
      </c>
      <c r="F58" s="133"/>
      <c r="G58" s="152"/>
      <c r="H58" s="133"/>
      <c r="I58" s="133"/>
      <c r="J58" s="133"/>
      <c r="K58" s="133"/>
      <c r="L58" s="133"/>
      <c r="M58" s="133"/>
      <c r="N58" s="148"/>
      <c r="O58" s="354"/>
      <c r="P58" s="144" t="s">
        <v>231</v>
      </c>
      <c r="Q58" s="133"/>
      <c r="R58" s="369">
        <f>IF(MONTH(E8)=12,(K8/J8-1),(E63/D63-1))</f>
        <v>-0.20209050415063778</v>
      </c>
      <c r="S58" s="369">
        <f>IF(MONTH(E8)=12,(K44/J44-1),(E64/D64-1))</f>
        <v>-0.7393342146376638</v>
      </c>
      <c r="T58" s="370">
        <f>IF(MONTH(E8)=12,(K57/J57-1),(E66/D66-1))</f>
        <v>-0.50902232817412818</v>
      </c>
      <c r="U58" s="140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</row>
    <row r="59" spans="1:31">
      <c r="A59" s="318" t="s">
        <v>232</v>
      </c>
      <c r="B59" s="367"/>
      <c r="C59" s="367"/>
      <c r="D59" s="367"/>
      <c r="E59" s="368">
        <f>IF(E56&gt;0,(365-E56)/365,1-E58)</f>
        <v>1</v>
      </c>
      <c r="F59" s="133"/>
      <c r="G59" s="371" t="s">
        <v>233</v>
      </c>
      <c r="H59" s="372"/>
      <c r="I59" s="372"/>
      <c r="J59" s="372"/>
      <c r="K59" s="372"/>
      <c r="L59" s="372"/>
      <c r="M59" s="372"/>
      <c r="N59" s="373"/>
      <c r="O59" s="354"/>
      <c r="P59" s="144" t="s">
        <v>234</v>
      </c>
      <c r="Q59" s="133"/>
      <c r="R59" s="369">
        <f>IF(MONTH(E8)=12,((K8/I8)^(1/2)-1),((E63/C63)^(1/2)-1))</f>
        <v>-0.10013035991033803</v>
      </c>
      <c r="S59" s="369">
        <f>IF(MONTH(E8)=12,((K44/I44)^(1/2)-1),((E64/C64)^(1/2)-1))</f>
        <v>-0.52072968544052345</v>
      </c>
      <c r="T59" s="370">
        <f>IF(MONTH(E8)=12,((K57/I57)^(1/2)-1),((E66/C66)^(1/2)-1))</f>
        <v>-0.3015235745895618</v>
      </c>
      <c r="U59" s="354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 spans="1:31">
      <c r="A60" s="318" t="s">
        <v>235</v>
      </c>
      <c r="B60" s="367"/>
      <c r="C60" s="367"/>
      <c r="D60" s="367"/>
      <c r="E60" s="368">
        <f>1-E59-E58</f>
        <v>0</v>
      </c>
      <c r="F60" s="133"/>
      <c r="G60" s="472"/>
      <c r="H60" s="473"/>
      <c r="I60" s="473"/>
      <c r="J60" s="473"/>
      <c r="K60" s="473"/>
      <c r="L60" s="473"/>
      <c r="M60" s="473"/>
      <c r="N60" s="474"/>
      <c r="O60" s="133"/>
      <c r="P60" s="144"/>
      <c r="Q60" s="133"/>
      <c r="R60" s="133"/>
      <c r="S60" s="133"/>
      <c r="T60" s="201"/>
      <c r="U60" s="140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</row>
    <row r="61" spans="1:31">
      <c r="A61" s="133"/>
      <c r="B61" s="133"/>
      <c r="C61" s="133"/>
      <c r="D61" s="133"/>
      <c r="E61" s="201"/>
      <c r="F61" s="133"/>
      <c r="G61" s="475"/>
      <c r="H61" s="476"/>
      <c r="I61" s="476"/>
      <c r="J61" s="476"/>
      <c r="K61" s="476"/>
      <c r="L61" s="476"/>
      <c r="M61" s="476"/>
      <c r="N61" s="477"/>
      <c r="O61" s="133"/>
      <c r="P61" s="366" t="s">
        <v>236</v>
      </c>
      <c r="Q61" s="133"/>
      <c r="R61" s="369"/>
      <c r="S61" s="369"/>
      <c r="T61" s="370"/>
      <c r="U61" s="140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</row>
    <row r="62" spans="1:31">
      <c r="A62" s="374" t="s">
        <v>237</v>
      </c>
      <c r="B62" s="133"/>
      <c r="C62" s="375">
        <f>EOMONTH(D62,-12)</f>
        <v>44196</v>
      </c>
      <c r="D62" s="375">
        <f>EOMONTH(E62,-12)</f>
        <v>44561</v>
      </c>
      <c r="E62" s="319">
        <f>EOMONTH(D68,-12)</f>
        <v>44926</v>
      </c>
      <c r="F62" s="133"/>
      <c r="G62" s="478"/>
      <c r="H62" s="476"/>
      <c r="I62" s="476"/>
      <c r="J62" s="476"/>
      <c r="K62" s="476"/>
      <c r="L62" s="476"/>
      <c r="M62" s="476"/>
      <c r="N62" s="477"/>
      <c r="O62" s="133"/>
      <c r="P62" s="144" t="s">
        <v>231</v>
      </c>
      <c r="Q62" s="133"/>
      <c r="R62" s="369">
        <f>IF(MONTH(E8)=12,(D69/K8-1),(D69/E63-1))</f>
        <v>-9.3615917440621255E-2</v>
      </c>
      <c r="S62" s="369">
        <f>IF(MONTH(E8)=12,(D70/K44-1),(D70/E64-1))</f>
        <v>-0.40635080121097344</v>
      </c>
      <c r="T62" s="370">
        <f>IF(MONTH(E8)=12,(D72/K57-1),(D72/E66-1))</f>
        <v>-0.75563453887424936</v>
      </c>
      <c r="U62" s="140"/>
      <c r="V62" s="272"/>
      <c r="W62" s="133"/>
      <c r="X62" s="133"/>
      <c r="Y62" s="133"/>
      <c r="Z62" s="133"/>
      <c r="AA62" s="133"/>
      <c r="AB62" s="133"/>
      <c r="AC62" s="133"/>
      <c r="AD62" s="133"/>
      <c r="AE62" s="133"/>
    </row>
    <row r="63" spans="1:31">
      <c r="A63" s="318" t="s">
        <v>98</v>
      </c>
      <c r="B63" s="133"/>
      <c r="C63" s="296">
        <f>H8*$E$58+I8*$E$59+J8*$E$60</f>
        <v>77867</v>
      </c>
      <c r="D63" s="296">
        <f>I8*$E$58+J8*$E$59+K8*$E$60</f>
        <v>79024</v>
      </c>
      <c r="E63" s="211">
        <f>J8*$E$58+K8*$E$59+E39*$E$60</f>
        <v>63054</v>
      </c>
      <c r="F63" s="133"/>
      <c r="G63" s="475"/>
      <c r="H63" s="476"/>
      <c r="I63" s="476"/>
      <c r="J63" s="476"/>
      <c r="K63" s="476"/>
      <c r="L63" s="476"/>
      <c r="M63" s="476"/>
      <c r="N63" s="477"/>
      <c r="O63" s="133"/>
      <c r="P63" s="144" t="s">
        <v>234</v>
      </c>
      <c r="Q63" s="133"/>
      <c r="R63" s="369">
        <f>IF(MONTH(E8)=12,(($E69/$K8)^(1/2)-1),(($E69/$E63)^(1/2)-1))</f>
        <v>-9.3615917440621255E-2</v>
      </c>
      <c r="S63" s="369">
        <f>IF(MONTH(E8)=12,(($E70/$K44)^(1/2)-1),(($E70/$E64)^(1/2)-1))</f>
        <v>-0.24447204474983975</v>
      </c>
      <c r="T63" s="370">
        <f>IF(MONTH(E8)=12,(($E72/$K57)^(1/2)-1),(($E72/$E66)^(1/2)-1))</f>
        <v>-0.18083254832421614</v>
      </c>
      <c r="U63" s="376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</row>
    <row r="64" spans="1:31" ht="15.75" thickBot="1">
      <c r="A64" s="318" t="s">
        <v>29</v>
      </c>
      <c r="B64" s="133"/>
      <c r="C64" s="296">
        <f>H44*$E$58+I44*$E$59+J44*$E$60</f>
        <v>37771</v>
      </c>
      <c r="D64" s="296">
        <f>I44*$E$58+J44*$E$59+K44*$E$60</f>
        <v>33284</v>
      </c>
      <c r="E64" s="211">
        <f>J44*$E$58+K44*$E$59+E40*$E$60</f>
        <v>8676</v>
      </c>
      <c r="F64" s="133"/>
      <c r="G64" s="377"/>
      <c r="H64" s="378"/>
      <c r="I64" s="378"/>
      <c r="J64" s="378"/>
      <c r="K64" s="378"/>
      <c r="L64" s="378"/>
      <c r="M64" s="378"/>
      <c r="N64" s="379"/>
      <c r="O64" s="133"/>
      <c r="P64" s="144" t="s">
        <v>238</v>
      </c>
      <c r="Q64" s="133"/>
      <c r="R64" s="157"/>
      <c r="S64" s="157"/>
      <c r="T64" s="380">
        <v>0</v>
      </c>
      <c r="U64" s="376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</row>
    <row r="65" spans="1:31">
      <c r="A65" s="318" t="s">
        <v>30</v>
      </c>
      <c r="B65" s="133"/>
      <c r="C65" s="296">
        <f>H39*$E$58+I39*$E$59+J39*$E$60</f>
        <v>25532</v>
      </c>
      <c r="D65" s="296">
        <f>I39*$E$58+J39*$E$59+K39*$E$60</f>
        <v>21492</v>
      </c>
      <c r="E65" s="211">
        <f>J39*$E$58+K39*$E$59+E41*$E$60</f>
        <v>5641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44"/>
      <c r="Q65" s="133"/>
      <c r="R65" s="133"/>
      <c r="S65" s="133"/>
      <c r="T65" s="201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</row>
    <row r="66" spans="1:31">
      <c r="A66" s="318" t="s">
        <v>31</v>
      </c>
      <c r="B66" s="133"/>
      <c r="C66" s="381">
        <f>H57*$E$58+I57*$E$59+J57*$E$60</f>
        <v>5.2844187145557653</v>
      </c>
      <c r="D66" s="381">
        <f>I57*$E$58+J57*$E$59+K57*$E$60</f>
        <v>5.2509633251833741</v>
      </c>
      <c r="E66" s="382">
        <f>J57*$E$58+K57*$E$59+E42*$E$60</f>
        <v>2.5781057482415717</v>
      </c>
      <c r="F66" s="133"/>
      <c r="G66" s="137" t="s">
        <v>239</v>
      </c>
      <c r="H66" s="138"/>
      <c r="I66" s="138"/>
      <c r="J66" s="138"/>
      <c r="K66" s="139"/>
      <c r="L66" s="137"/>
      <c r="M66" s="138"/>
      <c r="N66" s="138"/>
      <c r="O66" s="133"/>
      <c r="P66" s="355" t="s">
        <v>240</v>
      </c>
      <c r="Q66" s="134"/>
      <c r="R66" s="134"/>
      <c r="S66" s="134"/>
      <c r="T66" s="38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</row>
    <row r="67" spans="1:31">
      <c r="A67" s="144"/>
      <c r="B67" s="133"/>
      <c r="C67" s="133"/>
      <c r="D67" s="133"/>
      <c r="E67" s="201"/>
      <c r="F67" s="133"/>
      <c r="G67" s="144"/>
      <c r="H67" s="133"/>
      <c r="I67" s="147"/>
      <c r="J67" s="147"/>
      <c r="K67" s="133"/>
      <c r="L67" s="32" t="s">
        <v>88</v>
      </c>
      <c r="M67" s="32" t="s">
        <v>89</v>
      </c>
      <c r="N67" s="201"/>
      <c r="O67" s="133"/>
      <c r="P67" s="144" t="s">
        <v>241</v>
      </c>
      <c r="Q67" s="133"/>
      <c r="R67" s="133"/>
      <c r="S67" s="133"/>
      <c r="T67" s="159">
        <f>IF(ISERROR((N39*(1-E10))/(AVERAGE(D26+D32,E26+E32))),0,(N39*(1-E10))/(AVERAGE(D26+D32,E26+E32)))</f>
        <v>-2.2851776705417855E-3</v>
      </c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</row>
    <row r="68" spans="1:31">
      <c r="A68" s="374" t="s">
        <v>242</v>
      </c>
      <c r="B68" s="133"/>
      <c r="C68" s="133"/>
      <c r="D68" s="375">
        <f>DATE(YEAR(S5),12,31)</f>
        <v>45291</v>
      </c>
      <c r="E68" s="319">
        <f>+EOMONTH(D68,12)</f>
        <v>45657</v>
      </c>
      <c r="F68" s="133"/>
      <c r="G68" s="144"/>
      <c r="H68" s="133"/>
      <c r="I68" s="154" t="str">
        <f>"Fiscal Year Ending "&amp;TEXT($E$8,"mmmm d")&amp;","</f>
        <v>Fiscal Year Ending December 31,</v>
      </c>
      <c r="J68" s="154"/>
      <c r="K68" s="154"/>
      <c r="L68" s="32" t="s">
        <v>91</v>
      </c>
      <c r="M68" s="32" t="s">
        <v>91</v>
      </c>
      <c r="N68" s="279" t="s">
        <v>16</v>
      </c>
      <c r="O68" s="133"/>
      <c r="P68" s="186" t="s">
        <v>243</v>
      </c>
      <c r="Q68" s="133"/>
      <c r="R68" s="133"/>
      <c r="S68" s="133"/>
      <c r="T68" s="159">
        <f>IF(ISERROR(N52/AVERAGE(D32,E32)),0,N52/AVERAGE(D32,E32))</f>
        <v>1.6601221619488151E-2</v>
      </c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</row>
    <row r="69" spans="1:31">
      <c r="A69" s="318" t="s">
        <v>98</v>
      </c>
      <c r="B69" s="133"/>
      <c r="C69" s="133"/>
      <c r="D69" s="384">
        <f>K8*$E$58+E39*$E$59+E45*$E$60</f>
        <v>57151.141941699068</v>
      </c>
      <c r="E69" s="385">
        <f>E39*$E$58+E45*$E$59+E51*$E$60</f>
        <v>51800.885356047744</v>
      </c>
      <c r="F69" s="133"/>
      <c r="G69" s="386"/>
      <c r="H69" s="134"/>
      <c r="I69" s="161">
        <f t="shared" ref="I69:N69" si="36">+I27</f>
        <v>44196</v>
      </c>
      <c r="J69" s="161">
        <f t="shared" si="36"/>
        <v>44561</v>
      </c>
      <c r="K69" s="161">
        <f t="shared" si="36"/>
        <v>44926</v>
      </c>
      <c r="L69" s="162">
        <f t="shared" si="36"/>
        <v>44744</v>
      </c>
      <c r="M69" s="163">
        <f t="shared" si="36"/>
        <v>45108</v>
      </c>
      <c r="N69" s="288">
        <f t="shared" si="36"/>
        <v>45108</v>
      </c>
      <c r="O69" s="133"/>
      <c r="P69" s="186" t="s">
        <v>244</v>
      </c>
      <c r="Q69" s="133"/>
      <c r="R69" s="133"/>
      <c r="S69" s="133"/>
      <c r="T69" s="159">
        <f>IF(ISERROR(N52/AVERAGE(D23,E23)),0,N52/AVERAGE(D23,E23))</f>
        <v>9.3791674371553196E-3</v>
      </c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</row>
    <row r="70" spans="1:31">
      <c r="A70" s="318" t="s">
        <v>29</v>
      </c>
      <c r="B70" s="133"/>
      <c r="C70" s="133"/>
      <c r="D70" s="296">
        <f>K44*$E$58+E40*$E$59+E46*$E$60</f>
        <v>5150.5004486935941</v>
      </c>
      <c r="E70" s="385">
        <f>E40*$E$58+E46*$E$59+E52*$E$60</f>
        <v>4952.4559333430989</v>
      </c>
      <c r="F70" s="133"/>
      <c r="G70" s="144" t="s">
        <v>199</v>
      </c>
      <c r="H70" s="133"/>
      <c r="I70" s="208">
        <f>10482+1757</f>
        <v>12239</v>
      </c>
      <c r="J70" s="208">
        <f>9953+1839</f>
        <v>11792</v>
      </c>
      <c r="K70" s="208">
        <f>1128+1907</f>
        <v>3035</v>
      </c>
      <c r="L70" s="209">
        <f>5528+968</f>
        <v>6496</v>
      </c>
      <c r="M70" s="210">
        <f>3733+909</f>
        <v>4642</v>
      </c>
      <c r="N70" s="387">
        <f>K70+M70-L70</f>
        <v>1181</v>
      </c>
      <c r="O70" s="306"/>
      <c r="P70" s="43" t="s">
        <v>245</v>
      </c>
      <c r="Q70" s="133"/>
      <c r="R70" s="133"/>
      <c r="S70" s="133"/>
      <c r="T70" s="159">
        <f>IF(ISERROR((T9*4)/T5),"NA",(T9*4)/T5)</f>
        <v>0.16312849162011175</v>
      </c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</row>
    <row r="71" spans="1:31">
      <c r="A71" s="318" t="s">
        <v>30</v>
      </c>
      <c r="B71" s="133"/>
      <c r="C71" s="133"/>
      <c r="D71" s="296">
        <f>K39*$E$58+E41*$E$59+E47*$E$60</f>
        <v>2115.5004486935941</v>
      </c>
      <c r="E71" s="385">
        <f>E41*$E$58+E47*$E$59+E53*$E$60</f>
        <v>1917.4559333430989</v>
      </c>
      <c r="F71" s="133"/>
      <c r="G71" s="156" t="s">
        <v>246</v>
      </c>
      <c r="H71" s="157"/>
      <c r="I71" s="388">
        <f t="shared" ref="I71:N71" si="37">IF(ISERROR(I70/I8),"NA",I70/I8)</f>
        <v>0.15717826550400041</v>
      </c>
      <c r="J71" s="388">
        <f t="shared" si="37"/>
        <v>0.1492204899777283</v>
      </c>
      <c r="K71" s="388">
        <f t="shared" si="37"/>
        <v>4.8133346020871E-2</v>
      </c>
      <c r="L71" s="389">
        <f t="shared" si="37"/>
        <v>0.19290847538160005</v>
      </c>
      <c r="M71" s="390">
        <f t="shared" si="37"/>
        <v>0.188209536166072</v>
      </c>
      <c r="N71" s="391">
        <f t="shared" si="37"/>
        <v>2.1852564577011326E-2</v>
      </c>
      <c r="O71" s="133"/>
      <c r="P71" s="144"/>
      <c r="Q71" s="133"/>
      <c r="R71" s="133"/>
      <c r="S71" s="133"/>
      <c r="T71" s="201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</row>
    <row r="72" spans="1:31">
      <c r="A72" s="392" t="s">
        <v>31</v>
      </c>
      <c r="B72" s="181"/>
      <c r="C72" s="181"/>
      <c r="D72" s="393">
        <f>K57*$E$58+E42*$E$59+E48*$E$60</f>
        <v>0.63</v>
      </c>
      <c r="E72" s="394">
        <f>E42*$E$58+E48*$E$59+E54*$E$60</f>
        <v>1.73</v>
      </c>
      <c r="F72" s="133"/>
      <c r="G72" s="144" t="s">
        <v>180</v>
      </c>
      <c r="H72" s="133"/>
      <c r="I72" s="208">
        <v>1854</v>
      </c>
      <c r="J72" s="208">
        <v>2036</v>
      </c>
      <c r="K72" s="208">
        <v>3128</v>
      </c>
      <c r="L72" s="209">
        <v>1599</v>
      </c>
      <c r="M72" s="210">
        <v>1661</v>
      </c>
      <c r="N72" s="387">
        <f>K72+M72-L72</f>
        <v>3190</v>
      </c>
      <c r="O72" s="133"/>
      <c r="P72" s="355" t="s">
        <v>247</v>
      </c>
      <c r="Q72" s="356"/>
      <c r="R72" s="356"/>
      <c r="S72" s="356"/>
      <c r="T72" s="357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</row>
    <row r="73" spans="1:31">
      <c r="A73" s="133"/>
      <c r="B73" s="133"/>
      <c r="C73" s="133"/>
      <c r="D73" s="133"/>
      <c r="E73" s="133"/>
      <c r="F73" s="133"/>
      <c r="G73" s="144" t="s">
        <v>248</v>
      </c>
      <c r="H73" s="133"/>
      <c r="I73" s="208">
        <v>35864</v>
      </c>
      <c r="J73" s="208">
        <v>29456</v>
      </c>
      <c r="K73" s="208">
        <v>15433</v>
      </c>
      <c r="L73" s="209">
        <v>6700</v>
      </c>
      <c r="M73" s="210">
        <v>1023</v>
      </c>
      <c r="N73" s="387">
        <f>K73+M73-L73</f>
        <v>9756</v>
      </c>
      <c r="O73" s="133"/>
      <c r="P73" s="144" t="s">
        <v>249</v>
      </c>
      <c r="Q73" s="133"/>
      <c r="R73" s="133"/>
      <c r="S73" s="133"/>
      <c r="T73" s="159">
        <f>IF(ISBLANK(S13),(E26/(E26+T11)),(S13/(S13+T11)))</f>
        <v>0.2309152196527765</v>
      </c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</row>
    <row r="74" spans="1:31">
      <c r="A74" s="395" t="s">
        <v>250</v>
      </c>
      <c r="B74" s="396"/>
      <c r="C74" s="396"/>
      <c r="D74" s="396"/>
      <c r="E74" s="397"/>
      <c r="F74" s="133"/>
      <c r="G74" s="144" t="s">
        <v>251</v>
      </c>
      <c r="H74" s="133"/>
      <c r="I74" s="208">
        <v>14259</v>
      </c>
      <c r="J74" s="208">
        <v>18733</v>
      </c>
      <c r="K74" s="208">
        <v>24844</v>
      </c>
      <c r="L74" s="209">
        <v>11846</v>
      </c>
      <c r="M74" s="210">
        <v>13301</v>
      </c>
      <c r="N74" s="387">
        <f>K74+M74-L74</f>
        <v>26299</v>
      </c>
      <c r="O74" s="133"/>
      <c r="P74" s="144" t="s">
        <v>252</v>
      </c>
      <c r="Q74" s="133"/>
      <c r="R74" s="133"/>
      <c r="S74" s="133"/>
      <c r="T74" s="398">
        <f>IF(ISERROR(S13/N44),0,T13/N44)</f>
        <v>61.047430830039524</v>
      </c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</row>
    <row r="75" spans="1:31">
      <c r="A75" s="399"/>
      <c r="B75" s="322"/>
      <c r="C75" s="322"/>
      <c r="D75" s="322"/>
      <c r="E75" s="400"/>
      <c r="F75" s="133"/>
      <c r="G75" s="156" t="s">
        <v>246</v>
      </c>
      <c r="H75" s="157"/>
      <c r="I75" s="388">
        <f t="shared" ref="I75:N75" si="38">IF(ISERROR(I74/I8),"NA",I74/I8)</f>
        <v>0.18311993527424969</v>
      </c>
      <c r="J75" s="388">
        <f t="shared" si="38"/>
        <v>0.23705456570155903</v>
      </c>
      <c r="K75" s="388">
        <f t="shared" si="38"/>
        <v>0.39401148222158783</v>
      </c>
      <c r="L75" s="389">
        <f t="shared" si="38"/>
        <v>0.35178475975530082</v>
      </c>
      <c r="M75" s="390">
        <f t="shared" si="38"/>
        <v>0.53928803113850143</v>
      </c>
      <c r="N75" s="391">
        <f t="shared" si="38"/>
        <v>0.48662201169417513</v>
      </c>
      <c r="O75" s="133"/>
      <c r="P75" s="180" t="s">
        <v>253</v>
      </c>
      <c r="Q75" s="181"/>
      <c r="R75" s="181"/>
      <c r="S75" s="181"/>
      <c r="T75" s="401">
        <f>IF(ISERROR((S13-E14-E15)/N44),0,(S13-E14-E15)/N44)</f>
        <v>-31.959156785243742</v>
      </c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</row>
  </sheetData>
  <mergeCells count="3">
    <mergeCell ref="P2:T2"/>
    <mergeCell ref="G60:N61"/>
    <mergeCell ref="G62:N6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F51A-81A9-45AD-9CA0-DDCAF713D914}">
  <dimension ref="A1:AE75"/>
  <sheetViews>
    <sheetView showGridLines="0" topLeftCell="B1" workbookViewId="0">
      <selection activeCell="F16" sqref="F16"/>
    </sheetView>
  </sheetViews>
  <sheetFormatPr defaultRowHeight="15"/>
  <cols>
    <col min="1" max="1" width="11.42578125" customWidth="1"/>
    <col min="2" max="2" width="24.85546875" customWidth="1"/>
    <col min="3" max="3" width="12" customWidth="1"/>
    <col min="4" max="4" width="12.140625" customWidth="1"/>
    <col min="5" max="5" width="10" bestFit="1" customWidth="1"/>
    <col min="8" max="8" width="24.7109375" customWidth="1"/>
    <col min="11" max="11" width="13.28515625" customWidth="1"/>
    <col min="12" max="13" width="10.42578125" bestFit="1" customWidth="1"/>
    <col min="17" max="17" width="10.42578125" bestFit="1" customWidth="1"/>
    <col min="18" max="18" width="11.140625" bestFit="1" customWidth="1"/>
    <col min="19" max="19" width="18.5703125" customWidth="1"/>
    <col min="20" max="20" width="9.7109375" bestFit="1" customWidth="1"/>
    <col min="24" max="24" width="13" customWidth="1"/>
    <col min="26" max="27" width="11.28515625" bestFit="1" customWidth="1"/>
    <col min="28" max="28" width="12.28515625" bestFit="1" customWidth="1"/>
  </cols>
  <sheetData>
    <row r="1" spans="1:31" ht="20.25">
      <c r="A1" s="132" t="str">
        <f>E5&amp;" ("&amp;E7&amp;":"&amp;E6&amp;") Inputs"</f>
        <v>Qualcomm (NASDAQ:QCOM) Inputs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/>
      <c r="Q1" s="134"/>
      <c r="R1" s="134"/>
      <c r="S1" s="134"/>
      <c r="T1" s="134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</row>
    <row r="2" spans="1:31">
      <c r="A2" s="135" t="str">
        <f>E9&amp;" in millions, except per share data"</f>
        <v>USD in millions, except per share data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471"/>
      <c r="Q2" s="471"/>
      <c r="R2" s="471"/>
      <c r="S2" s="471"/>
      <c r="T2" s="471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</row>
    <row r="3" spans="1:31" ht="15.75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6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</row>
    <row r="4" spans="1:31">
      <c r="A4" s="137" t="s">
        <v>5</v>
      </c>
      <c r="B4" s="138"/>
      <c r="C4" s="138"/>
      <c r="D4" s="138"/>
      <c r="E4" s="139"/>
      <c r="F4" s="133"/>
      <c r="G4" s="137" t="s">
        <v>83</v>
      </c>
      <c r="H4" s="138"/>
      <c r="I4" s="138"/>
      <c r="J4" s="138"/>
      <c r="K4" s="139"/>
      <c r="L4" s="137"/>
      <c r="M4" s="138"/>
      <c r="N4" s="138"/>
      <c r="O4" s="133"/>
      <c r="P4" s="137" t="s">
        <v>84</v>
      </c>
      <c r="Q4" s="138"/>
      <c r="R4" s="138"/>
      <c r="S4" s="138"/>
      <c r="T4" s="139"/>
      <c r="U4" s="140"/>
      <c r="V4" s="133"/>
      <c r="W4" s="141" t="s">
        <v>85</v>
      </c>
      <c r="X4" s="142"/>
      <c r="Y4" s="142"/>
      <c r="Z4" s="142"/>
      <c r="AA4" s="142"/>
      <c r="AB4" s="142"/>
      <c r="AC4" s="142"/>
      <c r="AD4" s="142"/>
      <c r="AE4" s="143"/>
    </row>
    <row r="5" spans="1:31">
      <c r="A5" s="144" t="s">
        <v>86</v>
      </c>
      <c r="B5" s="133"/>
      <c r="C5" s="133"/>
      <c r="D5" s="145"/>
      <c r="E5" s="402" t="s">
        <v>258</v>
      </c>
      <c r="F5" s="133"/>
      <c r="G5" s="146"/>
      <c r="H5" s="147"/>
      <c r="I5" s="147"/>
      <c r="J5" s="147"/>
      <c r="K5" s="133"/>
      <c r="L5" s="32" t="s">
        <v>88</v>
      </c>
      <c r="M5" s="32" t="s">
        <v>89</v>
      </c>
      <c r="N5" s="148"/>
      <c r="O5" s="133"/>
      <c r="P5" s="144" t="s">
        <v>90</v>
      </c>
      <c r="Q5" s="133"/>
      <c r="R5" s="133"/>
      <c r="S5" s="149">
        <v>45139</v>
      </c>
      <c r="T5" s="150">
        <v>132.08000000000001</v>
      </c>
      <c r="U5" s="140"/>
      <c r="V5" s="151"/>
      <c r="W5" s="409" t="s">
        <v>93</v>
      </c>
      <c r="X5" s="133"/>
      <c r="Y5" s="414" t="s">
        <v>94</v>
      </c>
      <c r="Z5" s="133"/>
      <c r="AA5" s="133"/>
      <c r="AB5" s="133"/>
      <c r="AC5" s="133"/>
      <c r="AD5" s="133"/>
      <c r="AE5" s="148"/>
    </row>
    <row r="6" spans="1:31">
      <c r="A6" s="144" t="s">
        <v>3</v>
      </c>
      <c r="B6" s="133"/>
      <c r="C6" s="133"/>
      <c r="D6" s="145"/>
      <c r="E6" s="402" t="s">
        <v>259</v>
      </c>
      <c r="F6" s="133"/>
      <c r="G6" s="153"/>
      <c r="H6" s="147"/>
      <c r="I6" s="154" t="str">
        <f>"Fiscal Year Ending "&amp;TEXT($E$8,"mmmm d")&amp;","</f>
        <v>Fiscal Year Ending September 25,</v>
      </c>
      <c r="J6" s="154"/>
      <c r="K6" s="154"/>
      <c r="L6" s="32" t="s">
        <v>91</v>
      </c>
      <c r="M6" s="32" t="s">
        <v>91</v>
      </c>
      <c r="N6" s="155" t="s">
        <v>16</v>
      </c>
      <c r="O6" s="133"/>
      <c r="P6" s="156" t="s">
        <v>92</v>
      </c>
      <c r="Q6" s="157"/>
      <c r="R6" s="157"/>
      <c r="S6" s="158"/>
      <c r="T6" s="159">
        <f>+IF(ISERROR(T5/T7),"NA",T5/T7)</f>
        <v>0.8637760774311688</v>
      </c>
      <c r="U6" s="140"/>
      <c r="V6" s="133"/>
      <c r="W6" s="152" t="s">
        <v>98</v>
      </c>
      <c r="X6" s="133"/>
      <c r="Y6" s="407">
        <f>K8</f>
        <v>44200</v>
      </c>
      <c r="Z6" s="410">
        <f>Y6*(1+AB15)</f>
        <v>60626.209307556477</v>
      </c>
      <c r="AA6" s="410">
        <f>Z6*(1+AB15)</f>
        <v>83156.951470670756</v>
      </c>
      <c r="AB6" s="410">
        <f>AA6*(1+AB15)</f>
        <v>114060.87658912221</v>
      </c>
      <c r="AC6" s="133"/>
      <c r="AD6" s="133"/>
      <c r="AE6" s="148"/>
    </row>
    <row r="7" spans="1:31">
      <c r="A7" s="144" t="s">
        <v>95</v>
      </c>
      <c r="B7" s="133"/>
      <c r="C7" s="133"/>
      <c r="D7" s="145"/>
      <c r="E7" s="402" t="s">
        <v>96</v>
      </c>
      <c r="F7" s="133"/>
      <c r="G7" s="152"/>
      <c r="H7" s="160"/>
      <c r="I7" s="161">
        <f>J7-365</f>
        <v>44099</v>
      </c>
      <c r="J7" s="161">
        <f>E8-365</f>
        <v>44464</v>
      </c>
      <c r="K7" s="161">
        <f>E8</f>
        <v>44829</v>
      </c>
      <c r="L7" s="162">
        <f>+M7-364</f>
        <v>44738</v>
      </c>
      <c r="M7" s="163">
        <v>45102</v>
      </c>
      <c r="N7" s="164">
        <f>+M7</f>
        <v>45102</v>
      </c>
      <c r="O7" s="133"/>
      <c r="P7" s="43" t="s">
        <v>97</v>
      </c>
      <c r="Q7" s="133"/>
      <c r="R7" s="133"/>
      <c r="S7" s="165"/>
      <c r="T7" s="166">
        <v>152.91</v>
      </c>
      <c r="U7" s="140"/>
      <c r="V7" s="133"/>
      <c r="W7" s="152" t="s">
        <v>101</v>
      </c>
      <c r="X7" s="133"/>
      <c r="Y7" s="196">
        <f>K9</f>
        <v>18635</v>
      </c>
      <c r="Z7" s="410">
        <f>Z6*(1-$AB$16)</f>
        <v>25560.393901500334</v>
      </c>
      <c r="AA7" s="410">
        <f t="shared" ref="AA7:AB7" si="0">AA6*(1-$AB$16)</f>
        <v>35059.4975261527</v>
      </c>
      <c r="AB7" s="410">
        <f t="shared" si="0"/>
        <v>48088.788127563173</v>
      </c>
      <c r="AC7" s="133"/>
      <c r="AD7" s="133"/>
      <c r="AE7" s="148"/>
    </row>
    <row r="8" spans="1:31">
      <c r="A8" s="144" t="s">
        <v>99</v>
      </c>
      <c r="B8" s="133"/>
      <c r="C8" s="133"/>
      <c r="D8" s="167"/>
      <c r="E8" s="403">
        <v>44829</v>
      </c>
      <c r="F8" s="133"/>
      <c r="G8" s="168" t="s">
        <v>98</v>
      </c>
      <c r="H8" s="169"/>
      <c r="I8" s="170">
        <v>23531</v>
      </c>
      <c r="J8" s="170">
        <v>33566</v>
      </c>
      <c r="K8" s="170">
        <v>44200</v>
      </c>
      <c r="L8" s="171">
        <v>32805</v>
      </c>
      <c r="M8" s="172">
        <v>27189</v>
      </c>
      <c r="N8" s="173">
        <f>K8+M8-L8</f>
        <v>38584</v>
      </c>
      <c r="O8" s="133"/>
      <c r="P8" s="43" t="s">
        <v>100</v>
      </c>
      <c r="Q8" s="133"/>
      <c r="R8" s="133"/>
      <c r="S8" s="165"/>
      <c r="T8" s="166">
        <v>101.47</v>
      </c>
      <c r="U8" s="140"/>
      <c r="V8" s="133"/>
      <c r="W8" s="361" t="s">
        <v>105</v>
      </c>
      <c r="X8" s="133"/>
      <c r="Y8" s="408">
        <f>Y6-Y7</f>
        <v>25565</v>
      </c>
      <c r="Z8" s="410">
        <f>Z6-Z7</f>
        <v>35065.815406056143</v>
      </c>
      <c r="AA8" s="410">
        <f t="shared" ref="AA8:AB8" si="1">AA6-AA7</f>
        <v>48097.453944518056</v>
      </c>
      <c r="AB8" s="410">
        <f t="shared" si="1"/>
        <v>65972.088461559033</v>
      </c>
      <c r="AC8" s="133"/>
      <c r="AD8" s="133"/>
      <c r="AE8" s="148"/>
    </row>
    <row r="9" spans="1:31">
      <c r="A9" s="144" t="s">
        <v>102</v>
      </c>
      <c r="B9" s="133"/>
      <c r="C9" s="133"/>
      <c r="D9" s="133"/>
      <c r="E9" s="402" t="s">
        <v>103</v>
      </c>
      <c r="F9" s="133"/>
      <c r="G9" s="174" t="s">
        <v>101</v>
      </c>
      <c r="H9" s="133"/>
      <c r="I9" s="175">
        <v>9255</v>
      </c>
      <c r="J9" s="175">
        <v>14262</v>
      </c>
      <c r="K9" s="175">
        <v>18635</v>
      </c>
      <c r="L9" s="176">
        <v>13767</v>
      </c>
      <c r="M9" s="177">
        <v>11989</v>
      </c>
      <c r="N9" s="178">
        <f>K9+M9-L9</f>
        <v>16857</v>
      </c>
      <c r="O9" s="179"/>
      <c r="P9" s="43" t="s">
        <v>104</v>
      </c>
      <c r="Q9" s="133"/>
      <c r="R9" s="133"/>
      <c r="S9" s="133"/>
      <c r="T9" s="166">
        <v>2.86</v>
      </c>
      <c r="U9" s="140"/>
      <c r="V9" s="133"/>
      <c r="W9" s="152"/>
      <c r="X9" s="133"/>
      <c r="Y9" s="133"/>
      <c r="Z9" s="133"/>
      <c r="AA9" s="133"/>
      <c r="AB9" s="133"/>
      <c r="AC9" s="133"/>
      <c r="AD9" s="133"/>
      <c r="AE9" s="148"/>
    </row>
    <row r="10" spans="1:31">
      <c r="A10" s="180" t="s">
        <v>106</v>
      </c>
      <c r="B10" s="181"/>
      <c r="C10" s="181"/>
      <c r="D10" s="181"/>
      <c r="E10" s="404">
        <v>0.21</v>
      </c>
      <c r="F10" s="133"/>
      <c r="G10" s="182" t="s">
        <v>105</v>
      </c>
      <c r="H10" s="133"/>
      <c r="I10" s="183">
        <f t="shared" ref="I10:N10" si="2">+I8-I9</f>
        <v>14276</v>
      </c>
      <c r="J10" s="183">
        <f t="shared" si="2"/>
        <v>19304</v>
      </c>
      <c r="K10" s="183">
        <f t="shared" si="2"/>
        <v>25565</v>
      </c>
      <c r="L10" s="184">
        <f t="shared" si="2"/>
        <v>19038</v>
      </c>
      <c r="M10" s="185">
        <f t="shared" si="2"/>
        <v>15200</v>
      </c>
      <c r="N10" s="173">
        <f t="shared" si="2"/>
        <v>21727</v>
      </c>
      <c r="O10" s="133"/>
      <c r="P10" s="186" t="s">
        <v>107</v>
      </c>
      <c r="Q10" s="133"/>
      <c r="R10" s="133"/>
      <c r="S10" s="133"/>
      <c r="T10" s="187">
        <f>+T27</f>
        <v>1144</v>
      </c>
      <c r="U10" s="140"/>
      <c r="V10" s="151"/>
      <c r="W10" s="152" t="s">
        <v>110</v>
      </c>
      <c r="X10" s="133"/>
      <c r="Y10" s="196">
        <f>K11</f>
        <v>9705</v>
      </c>
      <c r="Z10" s="410">
        <f>Z6*$AB$17</f>
        <v>13311.705007462344</v>
      </c>
      <c r="AA10" s="410">
        <f t="shared" ref="AA10:AB10" si="3">AA6*$AB$17</f>
        <v>18258.783122689132</v>
      </c>
      <c r="AB10" s="410">
        <f t="shared" si="3"/>
        <v>25044.362156050476</v>
      </c>
      <c r="AC10" s="133"/>
      <c r="AD10" s="133"/>
      <c r="AE10" s="148"/>
    </row>
    <row r="11" spans="1:31">
      <c r="A11" s="133"/>
      <c r="B11" s="133"/>
      <c r="C11" s="133"/>
      <c r="D11" s="145"/>
      <c r="E11" s="145"/>
      <c r="F11" s="133"/>
      <c r="G11" s="174" t="s">
        <v>108</v>
      </c>
      <c r="H11" s="188"/>
      <c r="I11" s="189">
        <f>5975+2074+-28</f>
        <v>8021</v>
      </c>
      <c r="J11" s="189">
        <f>7176+2339</f>
        <v>9515</v>
      </c>
      <c r="K11" s="190">
        <f>8194+2570+-1059</f>
        <v>9705</v>
      </c>
      <c r="L11" s="191">
        <f>6016+1887+-1059</f>
        <v>6844</v>
      </c>
      <c r="M11" s="192">
        <f>6683+1854+285</f>
        <v>8822</v>
      </c>
      <c r="N11" s="193">
        <f>K11+M11-L11</f>
        <v>11683</v>
      </c>
      <c r="O11" s="133"/>
      <c r="P11" s="194" t="s">
        <v>109</v>
      </c>
      <c r="Q11" s="133"/>
      <c r="R11" s="133"/>
      <c r="S11" s="133"/>
      <c r="T11" s="195">
        <f>+T10*T5</f>
        <v>151099.52000000002</v>
      </c>
      <c r="U11" s="140"/>
      <c r="V11" s="196"/>
      <c r="W11" s="361" t="s">
        <v>29</v>
      </c>
      <c r="X11" s="133"/>
      <c r="Y11" s="408">
        <f>Y12+$K$42</f>
        <v>17622</v>
      </c>
      <c r="Z11" s="410">
        <f>Z12+$K$42</f>
        <v>23516.110398593799</v>
      </c>
      <c r="AA11" s="410">
        <f t="shared" ref="AA11:AB11" si="4">AA12+$K$42</f>
        <v>31600.670821828924</v>
      </c>
      <c r="AB11" s="410">
        <f t="shared" si="4"/>
        <v>42689.726305508557</v>
      </c>
      <c r="AC11" s="133"/>
      <c r="AD11" s="133"/>
      <c r="AE11" s="148"/>
    </row>
    <row r="12" spans="1:31">
      <c r="A12" s="137" t="s">
        <v>111</v>
      </c>
      <c r="B12" s="138"/>
      <c r="C12" s="138"/>
      <c r="D12" s="138"/>
      <c r="E12" s="139"/>
      <c r="F12" s="133"/>
      <c r="G12" s="182" t="s">
        <v>112</v>
      </c>
      <c r="H12" s="188"/>
      <c r="I12" s="197">
        <f>I10-I11</f>
        <v>6255</v>
      </c>
      <c r="J12" s="197">
        <f t="shared" ref="J12:N12" si="5">J10-J11</f>
        <v>9789</v>
      </c>
      <c r="K12" s="197">
        <f t="shared" si="5"/>
        <v>15860</v>
      </c>
      <c r="L12" s="198">
        <f t="shared" si="5"/>
        <v>12194</v>
      </c>
      <c r="M12" s="199">
        <f t="shared" si="5"/>
        <v>6378</v>
      </c>
      <c r="N12" s="200">
        <f t="shared" si="5"/>
        <v>10044</v>
      </c>
      <c r="O12" s="133"/>
      <c r="P12" s="144"/>
      <c r="Q12" s="133"/>
      <c r="R12" s="133"/>
      <c r="S12" s="133"/>
      <c r="T12" s="201"/>
      <c r="U12" s="133"/>
      <c r="V12" s="202"/>
      <c r="W12" s="406" t="s">
        <v>30</v>
      </c>
      <c r="X12" s="133"/>
      <c r="Y12" s="408">
        <f>Y8-Y10</f>
        <v>15860</v>
      </c>
      <c r="Z12" s="410">
        <f>Z8-Z10</f>
        <v>21754.110398593799</v>
      </c>
      <c r="AA12" s="410">
        <f t="shared" ref="AA12:AB12" si="6">AA8-AA10</f>
        <v>29838.670821828924</v>
      </c>
      <c r="AB12" s="410">
        <f t="shared" si="6"/>
        <v>40927.726305508557</v>
      </c>
      <c r="AC12" s="133"/>
      <c r="AD12" s="133"/>
      <c r="AE12" s="148"/>
    </row>
    <row r="13" spans="1:31">
      <c r="A13" s="204"/>
      <c r="B13" s="205"/>
      <c r="C13" s="205"/>
      <c r="D13" s="206">
        <f>IF(K7=N7,J7,K7)</f>
        <v>44829</v>
      </c>
      <c r="E13" s="207">
        <f>N7</f>
        <v>45102</v>
      </c>
      <c r="F13" s="133"/>
      <c r="G13" s="174" t="s">
        <v>113</v>
      </c>
      <c r="H13" s="188"/>
      <c r="I13" s="208">
        <v>-66</v>
      </c>
      <c r="J13" s="208">
        <v>-1044</v>
      </c>
      <c r="K13" s="208">
        <v>372</v>
      </c>
      <c r="L13" s="209">
        <v>321</v>
      </c>
      <c r="M13" s="210">
        <v>-166</v>
      </c>
      <c r="N13" s="193">
        <f>K13+M13-L13</f>
        <v>-115</v>
      </c>
      <c r="O13" s="133"/>
      <c r="P13" s="186" t="s">
        <v>114</v>
      </c>
      <c r="Q13" s="133"/>
      <c r="R13" s="133"/>
      <c r="S13" s="208"/>
      <c r="T13" s="211">
        <f>+IF(ISBLANK(S13),E26,S13)</f>
        <v>14530</v>
      </c>
      <c r="U13" s="140"/>
      <c r="V13" s="133"/>
      <c r="W13" s="203"/>
      <c r="X13" s="133"/>
      <c r="Y13" s="133"/>
      <c r="Z13" s="133"/>
      <c r="AA13" s="133"/>
      <c r="AB13" s="133"/>
      <c r="AC13" s="133"/>
      <c r="AD13" s="133"/>
      <c r="AE13" s="148"/>
    </row>
    <row r="14" spans="1:31" ht="16.5">
      <c r="A14" s="204" t="s">
        <v>115</v>
      </c>
      <c r="B14" s="212"/>
      <c r="C14" s="212"/>
      <c r="D14" s="213">
        <v>2773</v>
      </c>
      <c r="E14" s="214">
        <v>6087</v>
      </c>
      <c r="F14" s="133"/>
      <c r="G14" s="174" t="s">
        <v>116</v>
      </c>
      <c r="H14" s="188"/>
      <c r="I14" s="215">
        <v>602</v>
      </c>
      <c r="J14" s="215">
        <v>559</v>
      </c>
      <c r="K14" s="215">
        <v>490</v>
      </c>
      <c r="L14" s="216">
        <v>345</v>
      </c>
      <c r="M14" s="217">
        <v>521</v>
      </c>
      <c r="N14" s="178">
        <f>K14+M14-L14</f>
        <v>666</v>
      </c>
      <c r="O14" s="133"/>
      <c r="P14" s="186" t="s">
        <v>117</v>
      </c>
      <c r="Q14" s="133"/>
      <c r="R14" s="133"/>
      <c r="S14" s="133"/>
      <c r="T14" s="218">
        <f>+E31</f>
        <v>0</v>
      </c>
      <c r="U14" s="140"/>
      <c r="V14" s="133"/>
      <c r="W14" s="405" t="s">
        <v>121</v>
      </c>
      <c r="X14" s="133"/>
      <c r="Y14" s="133"/>
      <c r="Z14" s="133"/>
      <c r="AA14" s="133"/>
      <c r="AB14" s="133"/>
      <c r="AC14" s="133"/>
      <c r="AD14" s="133"/>
      <c r="AE14" s="148"/>
    </row>
    <row r="15" spans="1:31">
      <c r="A15" s="219" t="s">
        <v>118</v>
      </c>
      <c r="B15" s="220"/>
      <c r="C15" s="220"/>
      <c r="D15" s="208">
        <v>3609</v>
      </c>
      <c r="E15" s="221">
        <v>2544</v>
      </c>
      <c r="F15" s="133"/>
      <c r="G15" s="182" t="s">
        <v>119</v>
      </c>
      <c r="H15" s="133"/>
      <c r="I15" s="183">
        <f>I12-SUM(I13:I14)</f>
        <v>5719</v>
      </c>
      <c r="J15" s="183">
        <f t="shared" ref="J15:N15" si="7">J12-SUM(J13:J14)</f>
        <v>10274</v>
      </c>
      <c r="K15" s="183">
        <f t="shared" si="7"/>
        <v>14998</v>
      </c>
      <c r="L15" s="184">
        <f t="shared" si="7"/>
        <v>11528</v>
      </c>
      <c r="M15" s="185">
        <f t="shared" si="7"/>
        <v>6023</v>
      </c>
      <c r="N15" s="173">
        <f t="shared" si="7"/>
        <v>9493</v>
      </c>
      <c r="O15" s="133"/>
      <c r="P15" s="186" t="s">
        <v>120</v>
      </c>
      <c r="Q15" s="133"/>
      <c r="R15" s="133"/>
      <c r="S15" s="133"/>
      <c r="T15" s="218">
        <f>+E30</f>
        <v>0</v>
      </c>
      <c r="U15" s="140"/>
      <c r="V15" s="133"/>
      <c r="W15" s="203" t="s">
        <v>125</v>
      </c>
      <c r="X15" s="133"/>
      <c r="Y15" s="411"/>
      <c r="Z15" s="411">
        <f>J8/I8-1</f>
        <v>0.42645871403680258</v>
      </c>
      <c r="AA15" s="411">
        <f>K8/J8-1</f>
        <v>0.31680867544539115</v>
      </c>
      <c r="AB15" s="412">
        <f>AVERAGE(Z15:AA15)</f>
        <v>0.37163369474109686</v>
      </c>
      <c r="AC15" s="133"/>
      <c r="AD15" s="133"/>
      <c r="AE15" s="148"/>
    </row>
    <row r="16" spans="1:31">
      <c r="A16" s="219" t="s">
        <v>122</v>
      </c>
      <c r="B16" s="220"/>
      <c r="C16" s="220"/>
      <c r="D16" s="208">
        <v>5643</v>
      </c>
      <c r="E16" s="221">
        <v>3850</v>
      </c>
      <c r="F16" s="133"/>
      <c r="G16" s="222" t="s">
        <v>123</v>
      </c>
      <c r="H16" s="133"/>
      <c r="I16" s="208">
        <v>521</v>
      </c>
      <c r="J16" s="208">
        <v>1231</v>
      </c>
      <c r="K16" s="208">
        <v>2012</v>
      </c>
      <c r="L16" s="209">
        <v>1465</v>
      </c>
      <c r="M16" s="210">
        <v>313</v>
      </c>
      <c r="N16" s="193">
        <f>K16+M16-L16</f>
        <v>860</v>
      </c>
      <c r="O16" s="133"/>
      <c r="P16" s="186" t="s">
        <v>124</v>
      </c>
      <c r="Q16" s="133"/>
      <c r="R16" s="133"/>
      <c r="S16" s="133"/>
      <c r="T16" s="211">
        <f>-(E14+E15)</f>
        <v>-8631</v>
      </c>
      <c r="U16" s="140"/>
      <c r="V16" s="133"/>
      <c r="W16" s="152" t="s">
        <v>129</v>
      </c>
      <c r="X16" s="133"/>
      <c r="Y16" s="411">
        <f>(I8-I9)/I8</f>
        <v>0.606689048489227</v>
      </c>
      <c r="Z16" s="411">
        <f t="shared" ref="Z16:AA16" si="8">(J8-J9)/J8</f>
        <v>0.57510576178275641</v>
      </c>
      <c r="AA16" s="411">
        <f t="shared" si="8"/>
        <v>0.5783936651583711</v>
      </c>
      <c r="AB16" s="412">
        <f t="shared" ref="AB16:AB18" si="9">AA16</f>
        <v>0.5783936651583711</v>
      </c>
      <c r="AC16" s="133"/>
      <c r="AD16" s="133"/>
      <c r="AE16" s="148"/>
    </row>
    <row r="17" spans="1:31">
      <c r="A17" s="219" t="s">
        <v>126</v>
      </c>
      <c r="B17" s="223"/>
      <c r="C17" s="223"/>
      <c r="D17" s="215">
        <f>6341+733+1625</f>
        <v>8699</v>
      </c>
      <c r="E17" s="224">
        <f>6628+317+1050</f>
        <v>7995</v>
      </c>
      <c r="F17" s="133"/>
      <c r="G17" s="222" t="s">
        <v>127</v>
      </c>
      <c r="H17" s="133"/>
      <c r="I17" s="208">
        <v>0</v>
      </c>
      <c r="J17" s="208">
        <v>0</v>
      </c>
      <c r="K17" s="208">
        <v>0</v>
      </c>
      <c r="L17" s="209">
        <v>0</v>
      </c>
      <c r="M17" s="210">
        <v>0</v>
      </c>
      <c r="N17" s="225">
        <f>K17+M17-L17</f>
        <v>0</v>
      </c>
      <c r="O17" s="133"/>
      <c r="P17" s="194" t="s">
        <v>128</v>
      </c>
      <c r="Q17" s="133"/>
      <c r="R17" s="133"/>
      <c r="S17" s="133"/>
      <c r="T17" s="226">
        <f>SUM(T11:T16)</f>
        <v>156998.52000000002</v>
      </c>
      <c r="U17" s="140"/>
      <c r="V17" s="133"/>
      <c r="W17" s="152" t="s">
        <v>257</v>
      </c>
      <c r="X17" s="133"/>
      <c r="Y17" s="411">
        <f>I11/I8</f>
        <v>0.34086949130933664</v>
      </c>
      <c r="Z17" s="411">
        <f t="shared" ref="Z17:AA17" si="10">J11/J8</f>
        <v>0.28347136983852705</v>
      </c>
      <c r="AA17" s="411">
        <f t="shared" si="10"/>
        <v>0.21957013574660633</v>
      </c>
      <c r="AB17" s="412">
        <f t="shared" si="9"/>
        <v>0.21957013574660633</v>
      </c>
      <c r="AC17" s="133"/>
      <c r="AD17" s="133"/>
      <c r="AE17" s="148"/>
    </row>
    <row r="18" spans="1:31">
      <c r="A18" s="227" t="s">
        <v>130</v>
      </c>
      <c r="B18" s="220"/>
      <c r="C18" s="220"/>
      <c r="D18" s="228">
        <f>SUM(D14:D17)</f>
        <v>20724</v>
      </c>
      <c r="E18" s="229">
        <f>SUM(E14:E17)</f>
        <v>20476</v>
      </c>
      <c r="F18" s="133"/>
      <c r="G18" s="222" t="s">
        <v>131</v>
      </c>
      <c r="H18" s="133"/>
      <c r="I18" s="215">
        <v>0</v>
      </c>
      <c r="J18" s="215">
        <v>0</v>
      </c>
      <c r="K18" s="215">
        <v>50</v>
      </c>
      <c r="L18" s="216">
        <v>0</v>
      </c>
      <c r="M18" s="217">
        <v>-32</v>
      </c>
      <c r="N18" s="225">
        <f>K18+M18-L18</f>
        <v>18</v>
      </c>
      <c r="O18" s="133"/>
      <c r="P18" s="180"/>
      <c r="Q18" s="181"/>
      <c r="R18" s="181"/>
      <c r="S18" s="181"/>
      <c r="T18" s="230"/>
      <c r="U18" s="140"/>
      <c r="V18" s="133"/>
      <c r="W18" s="152" t="s">
        <v>134</v>
      </c>
      <c r="X18" s="133"/>
      <c r="Y18" s="411">
        <f>I44/I8</f>
        <v>0.37652458459054011</v>
      </c>
      <c r="Z18" s="411">
        <f t="shared" ref="Z18:AA18" si="11">J44/J8</f>
        <v>0.38830959899898709</v>
      </c>
      <c r="AA18" s="411">
        <f t="shared" si="11"/>
        <v>0.44463800904977374</v>
      </c>
      <c r="AB18" s="412">
        <f t="shared" si="9"/>
        <v>0.44463800904977374</v>
      </c>
      <c r="AC18" s="133"/>
      <c r="AD18" s="133"/>
      <c r="AE18" s="148"/>
    </row>
    <row r="19" spans="1:31" ht="15.75" thickBot="1">
      <c r="A19" s="204"/>
      <c r="B19" s="205"/>
      <c r="C19" s="205"/>
      <c r="D19" s="205"/>
      <c r="E19" s="231"/>
      <c r="F19" s="133"/>
      <c r="G19" s="182" t="s">
        <v>133</v>
      </c>
      <c r="H19" s="133"/>
      <c r="I19" s="232">
        <f t="shared" ref="I19:N19" si="12">I15-SUM(I16:I18)</f>
        <v>5198</v>
      </c>
      <c r="J19" s="232">
        <f t="shared" si="12"/>
        <v>9043</v>
      </c>
      <c r="K19" s="232">
        <f t="shared" si="12"/>
        <v>12936</v>
      </c>
      <c r="L19" s="233">
        <f t="shared" si="12"/>
        <v>10063</v>
      </c>
      <c r="M19" s="234">
        <f t="shared" si="12"/>
        <v>5742</v>
      </c>
      <c r="N19" s="235">
        <f t="shared" si="12"/>
        <v>8615</v>
      </c>
      <c r="O19" s="133"/>
      <c r="P19" s="133"/>
      <c r="Q19" s="133"/>
      <c r="R19" s="133"/>
      <c r="S19" s="133"/>
      <c r="T19" s="133"/>
      <c r="U19" s="140"/>
      <c r="V19" s="133"/>
      <c r="W19" s="152"/>
      <c r="X19" s="133"/>
      <c r="Y19" s="133"/>
      <c r="Z19" s="133"/>
      <c r="AA19" s="133"/>
      <c r="AB19" s="133"/>
      <c r="AC19" s="133"/>
      <c r="AD19" s="133"/>
      <c r="AE19" s="148"/>
    </row>
    <row r="20" spans="1:31" ht="15.75" thickTop="1">
      <c r="A20" s="219" t="s">
        <v>135</v>
      </c>
      <c r="B20" s="236"/>
      <c r="C20" s="236"/>
      <c r="D20" s="208">
        <v>5168</v>
      </c>
      <c r="E20" s="221">
        <v>5216</v>
      </c>
      <c r="F20" s="133"/>
      <c r="G20" s="237" t="s">
        <v>136</v>
      </c>
      <c r="H20" s="133"/>
      <c r="I20" s="238">
        <f t="shared" ref="I20:N20" si="13">IF(OR(I15&lt;0,ISERROR(I16/I15)),"NA",(I16/I15))</f>
        <v>9.1099842629830396E-2</v>
      </c>
      <c r="J20" s="238">
        <f t="shared" si="13"/>
        <v>0.11981701382129648</v>
      </c>
      <c r="K20" s="239">
        <f t="shared" si="13"/>
        <v>0.13415122016268835</v>
      </c>
      <c r="L20" s="238">
        <f t="shared" si="13"/>
        <v>0.12708188757807079</v>
      </c>
      <c r="M20" s="239">
        <f t="shared" si="13"/>
        <v>5.1967458077370084E-2</v>
      </c>
      <c r="N20" s="240">
        <f t="shared" si="13"/>
        <v>9.0593068576846097E-2</v>
      </c>
      <c r="O20" s="133"/>
      <c r="P20" s="137" t="s">
        <v>137</v>
      </c>
      <c r="Q20" s="138"/>
      <c r="R20" s="138"/>
      <c r="S20" s="138"/>
      <c r="T20" s="139"/>
      <c r="U20" s="140"/>
      <c r="V20" s="133"/>
      <c r="W20" s="152"/>
      <c r="X20" s="133"/>
      <c r="Y20" s="133"/>
      <c r="Z20" s="133"/>
      <c r="AA20" s="133"/>
      <c r="AB20" s="133"/>
      <c r="AC20" s="133"/>
      <c r="AD20" s="133"/>
      <c r="AE20" s="148"/>
    </row>
    <row r="21" spans="1:31">
      <c r="A21" s="219" t="s">
        <v>138</v>
      </c>
      <c r="B21" s="220"/>
      <c r="C21" s="220"/>
      <c r="D21" s="208">
        <f>10508+1882</f>
        <v>12390</v>
      </c>
      <c r="E21" s="241">
        <f>10591+1618</f>
        <v>12209</v>
      </c>
      <c r="F21" s="133"/>
      <c r="G21" s="152" t="s">
        <v>139</v>
      </c>
      <c r="H21" s="133"/>
      <c r="I21" s="208">
        <v>1149</v>
      </c>
      <c r="J21" s="208">
        <v>1149</v>
      </c>
      <c r="K21" s="208">
        <v>1137</v>
      </c>
      <c r="L21" s="209">
        <v>1139</v>
      </c>
      <c r="M21" s="210">
        <v>1126</v>
      </c>
      <c r="N21" s="193">
        <f>+IF(ISERROR(K21+M21-L21),"NA",K21+M21-L21)</f>
        <v>1124</v>
      </c>
      <c r="O21" s="133"/>
      <c r="P21" s="242" t="s">
        <v>140</v>
      </c>
      <c r="Q21" s="243"/>
      <c r="R21" s="243"/>
      <c r="S21" s="243"/>
      <c r="T21" s="221">
        <v>1114</v>
      </c>
      <c r="U21" s="140"/>
      <c r="V21" s="133"/>
      <c r="W21" s="152"/>
      <c r="X21" s="133"/>
      <c r="Y21" s="133"/>
      <c r="Z21" s="133"/>
      <c r="AA21" s="133"/>
      <c r="AB21" s="133"/>
      <c r="AC21" s="133"/>
      <c r="AD21" s="133"/>
      <c r="AE21" s="148"/>
    </row>
    <row r="22" spans="1:31">
      <c r="A22" s="219" t="s">
        <v>141</v>
      </c>
      <c r="B22" s="236"/>
      <c r="C22" s="236"/>
      <c r="D22" s="215">
        <f>1803+1200+7729</f>
        <v>10732</v>
      </c>
      <c r="E22" s="244">
        <f>2773+218+8110</f>
        <v>11101</v>
      </c>
      <c r="F22" s="133"/>
      <c r="G22" s="245" t="s">
        <v>142</v>
      </c>
      <c r="H22" s="246"/>
      <c r="I22" s="247">
        <f>IF(ISERROR(I19/I21),"NA",I19/I21)</f>
        <v>4.5239338555265451</v>
      </c>
      <c r="J22" s="247">
        <f>+IF(ISERROR(J19/J21),"NA",J19/J21)</f>
        <v>7.8703220191470846</v>
      </c>
      <c r="K22" s="247">
        <f>+IF(ISERROR(K19/K21),"NA",K19/K21)</f>
        <v>11.37730870712401</v>
      </c>
      <c r="L22" s="248">
        <f>+IF(ISERROR(L19/L21),"NA",L19/L21)</f>
        <v>8.8349429323968387</v>
      </c>
      <c r="M22" s="249">
        <f>+IF(ISERROR(M19/M21),"NA",M19/M21)</f>
        <v>5.0994671403197156</v>
      </c>
      <c r="N22" s="250">
        <f>+IF(ISERROR(K22+M22-L22),"NA",K22+M22-L22)</f>
        <v>7.6418329150468871</v>
      </c>
      <c r="O22" s="133"/>
      <c r="P22" s="242" t="s">
        <v>143</v>
      </c>
      <c r="Q22" s="243"/>
      <c r="R22" s="243"/>
      <c r="S22" s="243"/>
      <c r="T22" s="211">
        <f>+S37</f>
        <v>0</v>
      </c>
      <c r="U22" s="140"/>
      <c r="V22" s="133"/>
      <c r="W22" s="152"/>
      <c r="X22" s="133"/>
      <c r="Y22" s="133"/>
      <c r="Z22" s="133"/>
      <c r="AA22" s="133"/>
      <c r="AB22" s="133"/>
      <c r="AC22" s="133"/>
      <c r="AD22" s="133"/>
      <c r="AE22" s="148"/>
    </row>
    <row r="23" spans="1:31">
      <c r="A23" s="227" t="s">
        <v>144</v>
      </c>
      <c r="B23" s="220"/>
      <c r="C23" s="220"/>
      <c r="D23" s="251">
        <f>SUM(D18:D22)</f>
        <v>49014</v>
      </c>
      <c r="E23" s="252">
        <f>SUM(E18:E22)</f>
        <v>49002</v>
      </c>
      <c r="F23" s="133"/>
      <c r="G23" s="253"/>
      <c r="H23" s="181"/>
      <c r="I23" s="181"/>
      <c r="J23" s="181"/>
      <c r="K23" s="181"/>
      <c r="L23" s="181"/>
      <c r="M23" s="181"/>
      <c r="N23" s="254"/>
      <c r="O23" s="133"/>
      <c r="P23" s="242" t="s">
        <v>145</v>
      </c>
      <c r="Q23" s="243"/>
      <c r="R23" s="243"/>
      <c r="S23" s="243"/>
      <c r="T23" s="211">
        <f>IF(ISERROR(-T37/T5),0,-T37/T5)</f>
        <v>0</v>
      </c>
      <c r="U23" s="140"/>
      <c r="V23" s="133"/>
      <c r="W23" s="152"/>
      <c r="X23" s="133"/>
      <c r="Y23" s="133"/>
      <c r="Z23" s="133"/>
      <c r="AA23" s="133"/>
      <c r="AB23" s="133"/>
      <c r="AC23" s="133"/>
      <c r="AD23" s="133"/>
      <c r="AE23" s="148"/>
    </row>
    <row r="24" spans="1:31">
      <c r="A24" s="204"/>
      <c r="B24" s="205"/>
      <c r="C24" s="205"/>
      <c r="D24" s="205"/>
      <c r="E24" s="231"/>
      <c r="F24" s="133"/>
      <c r="G24" s="137" t="s">
        <v>146</v>
      </c>
      <c r="H24" s="138"/>
      <c r="I24" s="138"/>
      <c r="J24" s="138"/>
      <c r="K24" s="139"/>
      <c r="L24" s="137"/>
      <c r="M24" s="138"/>
      <c r="N24" s="138"/>
      <c r="O24" s="133"/>
      <c r="P24" s="255" t="s">
        <v>147</v>
      </c>
      <c r="Q24" s="256"/>
      <c r="R24" s="256"/>
      <c r="S24" s="256"/>
      <c r="T24" s="257">
        <f>IF(ISERROR(T22+T23),0,T22+T23)</f>
        <v>0</v>
      </c>
      <c r="U24" s="140"/>
      <c r="V24" s="133"/>
      <c r="W24" s="152"/>
      <c r="X24" s="133"/>
      <c r="Y24" s="133"/>
      <c r="Z24" s="133"/>
      <c r="AA24" s="133"/>
      <c r="AB24" s="133"/>
      <c r="AC24" s="133"/>
      <c r="AD24" s="133"/>
      <c r="AE24" s="148"/>
    </row>
    <row r="25" spans="1:31">
      <c r="A25" s="258" t="s">
        <v>148</v>
      </c>
      <c r="B25" s="236"/>
      <c r="C25" s="236"/>
      <c r="D25" s="259">
        <v>11866</v>
      </c>
      <c r="E25" s="260">
        <v>8463</v>
      </c>
      <c r="F25" s="261"/>
      <c r="G25" s="152"/>
      <c r="H25" s="133"/>
      <c r="I25" s="147"/>
      <c r="J25" s="147"/>
      <c r="K25" s="133"/>
      <c r="L25" s="32" t="s">
        <v>88</v>
      </c>
      <c r="M25" s="32" t="s">
        <v>89</v>
      </c>
      <c r="N25" s="148"/>
      <c r="O25" s="133"/>
      <c r="P25" s="186" t="s">
        <v>149</v>
      </c>
      <c r="Q25" s="243"/>
      <c r="R25" s="243"/>
      <c r="S25" s="243"/>
      <c r="T25" s="262">
        <f>+T44</f>
        <v>0</v>
      </c>
      <c r="U25" s="140"/>
      <c r="V25" s="133"/>
      <c r="W25" s="152"/>
      <c r="X25" s="133"/>
      <c r="Y25" s="133"/>
      <c r="Z25" s="133"/>
      <c r="AA25" s="133"/>
      <c r="AB25" s="133"/>
      <c r="AC25" s="133"/>
      <c r="AD25" s="133"/>
      <c r="AE25" s="148"/>
    </row>
    <row r="26" spans="1:31">
      <c r="A26" s="258" t="s">
        <v>150</v>
      </c>
      <c r="B26" s="220"/>
      <c r="C26" s="220"/>
      <c r="D26" s="208">
        <v>13537</v>
      </c>
      <c r="E26" s="221">
        <v>14530</v>
      </c>
      <c r="F26" s="133"/>
      <c r="G26" s="152"/>
      <c r="H26" s="133"/>
      <c r="I26" s="154" t="str">
        <f>"Fiscal Year Ending "&amp;TEXT($E$8,"mmmm d")&amp;","</f>
        <v>Fiscal Year Ending September 25,</v>
      </c>
      <c r="J26" s="154"/>
      <c r="K26" s="154"/>
      <c r="L26" s="32" t="s">
        <v>91</v>
      </c>
      <c r="M26" s="32" t="s">
        <v>91</v>
      </c>
      <c r="N26" s="155" t="s">
        <v>16</v>
      </c>
      <c r="O26" s="133"/>
      <c r="P26" s="186" t="s">
        <v>151</v>
      </c>
      <c r="Q26" s="243"/>
      <c r="R26" s="243"/>
      <c r="S26" s="243"/>
      <c r="T26" s="224">
        <v>30</v>
      </c>
      <c r="U26" s="140"/>
      <c r="V26" s="133"/>
      <c r="W26" s="152"/>
      <c r="X26" s="133"/>
      <c r="Y26" s="133"/>
      <c r="Z26" s="133"/>
      <c r="AA26" s="133"/>
      <c r="AB26" s="133"/>
      <c r="AC26" s="133"/>
      <c r="AD26" s="133"/>
      <c r="AE26" s="148"/>
    </row>
    <row r="27" spans="1:31">
      <c r="A27" s="258" t="s">
        <v>152</v>
      </c>
      <c r="B27" s="263"/>
      <c r="C27" s="263"/>
      <c r="D27" s="215">
        <f>144+1472+119+3863</f>
        <v>5598</v>
      </c>
      <c r="E27" s="244">
        <f>92+1098+36+4113</f>
        <v>5339</v>
      </c>
      <c r="F27" s="133"/>
      <c r="G27" s="264"/>
      <c r="H27" s="134"/>
      <c r="I27" s="161">
        <f t="shared" ref="I27:N27" si="14">+I7</f>
        <v>44099</v>
      </c>
      <c r="J27" s="161">
        <f t="shared" si="14"/>
        <v>44464</v>
      </c>
      <c r="K27" s="161">
        <f t="shared" si="14"/>
        <v>44829</v>
      </c>
      <c r="L27" s="162">
        <f t="shared" si="14"/>
        <v>44738</v>
      </c>
      <c r="M27" s="163">
        <f t="shared" si="14"/>
        <v>45102</v>
      </c>
      <c r="N27" s="164">
        <f t="shared" si="14"/>
        <v>45102</v>
      </c>
      <c r="O27" s="151"/>
      <c r="P27" s="255" t="s">
        <v>153</v>
      </c>
      <c r="Q27" s="243"/>
      <c r="R27" s="243"/>
      <c r="S27" s="243"/>
      <c r="T27" s="265">
        <f>T21+SUM(T24:T26)</f>
        <v>1144</v>
      </c>
      <c r="U27" s="140"/>
      <c r="V27" s="133"/>
      <c r="W27" s="152"/>
      <c r="X27" s="133"/>
      <c r="Y27" s="133"/>
      <c r="Z27" s="133"/>
      <c r="AA27" s="133"/>
      <c r="AB27" s="133"/>
      <c r="AC27" s="133"/>
      <c r="AD27" s="133"/>
      <c r="AE27" s="148"/>
    </row>
    <row r="28" spans="1:31">
      <c r="A28" s="227" t="s">
        <v>154</v>
      </c>
      <c r="B28" s="205"/>
      <c r="C28" s="205"/>
      <c r="D28" s="228">
        <f>D25+SUM(D26:D27)</f>
        <v>31001</v>
      </c>
      <c r="E28" s="229">
        <f>E25+SUM(E26:E27)</f>
        <v>28332</v>
      </c>
      <c r="F28" s="151"/>
      <c r="G28" s="152" t="s">
        <v>155</v>
      </c>
      <c r="H28" s="133"/>
      <c r="I28" s="266">
        <f t="shared" ref="I28:N28" si="15">I10</f>
        <v>14276</v>
      </c>
      <c r="J28" s="266">
        <f t="shared" si="15"/>
        <v>19304</v>
      </c>
      <c r="K28" s="266">
        <f t="shared" si="15"/>
        <v>25565</v>
      </c>
      <c r="L28" s="267">
        <f t="shared" si="15"/>
        <v>19038</v>
      </c>
      <c r="M28" s="268">
        <f t="shared" si="15"/>
        <v>15200</v>
      </c>
      <c r="N28" s="269">
        <f t="shared" si="15"/>
        <v>21727</v>
      </c>
      <c r="O28" s="133"/>
      <c r="P28" s="144"/>
      <c r="Q28" s="133"/>
      <c r="R28" s="133"/>
      <c r="S28" s="133"/>
      <c r="T28" s="201"/>
      <c r="U28" s="133"/>
      <c r="V28" s="133"/>
      <c r="W28" s="152"/>
      <c r="X28" s="133"/>
      <c r="Y28" s="133"/>
      <c r="Z28" s="133"/>
      <c r="AA28" s="133"/>
      <c r="AB28" s="133"/>
      <c r="AC28" s="133"/>
      <c r="AD28" s="133"/>
      <c r="AE28" s="148"/>
    </row>
    <row r="29" spans="1:31">
      <c r="A29" s="204"/>
      <c r="B29" s="205"/>
      <c r="C29" s="205"/>
      <c r="D29" s="270"/>
      <c r="E29" s="271"/>
      <c r="F29" s="151"/>
      <c r="G29" s="152" t="s">
        <v>156</v>
      </c>
      <c r="H29" s="133"/>
      <c r="I29" s="215">
        <v>0</v>
      </c>
      <c r="J29" s="215">
        <v>0</v>
      </c>
      <c r="K29" s="215">
        <v>0</v>
      </c>
      <c r="L29" s="216">
        <v>0</v>
      </c>
      <c r="M29" s="217">
        <v>0</v>
      </c>
      <c r="N29" s="178">
        <f>K29+M29-L29</f>
        <v>0</v>
      </c>
      <c r="O29" s="272"/>
      <c r="P29" s="273" t="s">
        <v>157</v>
      </c>
      <c r="Q29" s="274"/>
      <c r="R29" s="274"/>
      <c r="S29" s="274"/>
      <c r="T29" s="275"/>
      <c r="U29" s="140"/>
      <c r="V29" s="133"/>
      <c r="W29" s="152"/>
      <c r="X29" s="133"/>
      <c r="Y29" s="133"/>
      <c r="Z29" s="133"/>
      <c r="AA29" s="133"/>
      <c r="AB29" s="133"/>
      <c r="AC29" s="133"/>
      <c r="AD29" s="133"/>
      <c r="AE29" s="148"/>
    </row>
    <row r="30" spans="1:31">
      <c r="A30" s="276" t="s">
        <v>127</v>
      </c>
      <c r="B30" s="277"/>
      <c r="C30" s="277"/>
      <c r="D30" s="208">
        <v>0</v>
      </c>
      <c r="E30" s="241">
        <v>0</v>
      </c>
      <c r="F30" s="133"/>
      <c r="G30" s="182" t="s">
        <v>158</v>
      </c>
      <c r="H30" s="133"/>
      <c r="I30" s="183">
        <f t="shared" ref="I30:N30" si="16">SUM(I28:I29)</f>
        <v>14276</v>
      </c>
      <c r="J30" s="183">
        <f t="shared" si="16"/>
        <v>19304</v>
      </c>
      <c r="K30" s="183">
        <f t="shared" si="16"/>
        <v>25565</v>
      </c>
      <c r="L30" s="184">
        <f t="shared" si="16"/>
        <v>19038</v>
      </c>
      <c r="M30" s="185">
        <f t="shared" si="16"/>
        <v>15200</v>
      </c>
      <c r="N30" s="173">
        <f t="shared" si="16"/>
        <v>21727</v>
      </c>
      <c r="O30" s="133"/>
      <c r="P30" s="278"/>
      <c r="Q30" s="32" t="s">
        <v>159</v>
      </c>
      <c r="R30" s="32" t="s">
        <v>160</v>
      </c>
      <c r="S30" s="32" t="s">
        <v>161</v>
      </c>
      <c r="T30" s="279"/>
      <c r="U30" s="280"/>
      <c r="V30" s="133"/>
      <c r="W30" s="152"/>
      <c r="X30" s="133"/>
      <c r="Y30" s="133"/>
      <c r="Z30" s="133"/>
      <c r="AA30" s="133"/>
      <c r="AB30" s="133"/>
      <c r="AC30" s="133"/>
      <c r="AD30" s="133"/>
      <c r="AE30" s="148"/>
    </row>
    <row r="31" spans="1:31">
      <c r="A31" s="258" t="s">
        <v>162</v>
      </c>
      <c r="B31" s="223"/>
      <c r="C31" s="223"/>
      <c r="D31" s="208">
        <v>0</v>
      </c>
      <c r="E31" s="241">
        <v>0</v>
      </c>
      <c r="F31" s="133"/>
      <c r="G31" s="281" t="s">
        <v>163</v>
      </c>
      <c r="H31" s="157"/>
      <c r="I31" s="282">
        <f t="shared" ref="I31:N31" si="17">IF(ISERROR(I30/I8),"NA",I30/I8)</f>
        <v>0.606689048489227</v>
      </c>
      <c r="J31" s="282">
        <f t="shared" si="17"/>
        <v>0.57510576178275641</v>
      </c>
      <c r="K31" s="282">
        <f t="shared" si="17"/>
        <v>0.5783936651583711</v>
      </c>
      <c r="L31" s="283">
        <f t="shared" si="17"/>
        <v>0.58033836305441244</v>
      </c>
      <c r="M31" s="284">
        <f t="shared" si="17"/>
        <v>0.55904961565338929</v>
      </c>
      <c r="N31" s="285">
        <f t="shared" si="17"/>
        <v>0.56310906075057021</v>
      </c>
      <c r="O31" s="133"/>
      <c r="P31" s="286" t="s">
        <v>164</v>
      </c>
      <c r="Q31" s="287" t="s">
        <v>165</v>
      </c>
      <c r="R31" s="287" t="s">
        <v>24</v>
      </c>
      <c r="S31" s="287" t="s">
        <v>165</v>
      </c>
      <c r="T31" s="288" t="s">
        <v>166</v>
      </c>
      <c r="U31" s="140"/>
      <c r="V31" s="133"/>
      <c r="W31" s="152"/>
      <c r="X31" s="133"/>
      <c r="Y31" s="133"/>
      <c r="Z31" s="133"/>
      <c r="AA31" s="133"/>
      <c r="AB31" s="133"/>
      <c r="AC31" s="133"/>
      <c r="AD31" s="133"/>
      <c r="AE31" s="148"/>
    </row>
    <row r="32" spans="1:31">
      <c r="A32" s="258" t="s">
        <v>167</v>
      </c>
      <c r="B32" s="289"/>
      <c r="C32" s="289"/>
      <c r="D32" s="215">
        <v>18013</v>
      </c>
      <c r="E32" s="244">
        <v>20670</v>
      </c>
      <c r="F32" s="133"/>
      <c r="G32" s="152"/>
      <c r="H32" s="133"/>
      <c r="I32" s="133"/>
      <c r="J32" s="133"/>
      <c r="K32" s="290"/>
      <c r="L32" s="291"/>
      <c r="M32" s="292"/>
      <c r="N32" s="293"/>
      <c r="O32" s="133"/>
      <c r="P32" s="43" t="s">
        <v>168</v>
      </c>
      <c r="Q32" s="294">
        <v>0</v>
      </c>
      <c r="R32" s="295">
        <v>0</v>
      </c>
      <c r="S32" s="296">
        <f>+IF(R32&lt;$T$5,Q32,0)</f>
        <v>0</v>
      </c>
      <c r="T32" s="297">
        <f>IF(S32="NA","NA",S32*R32)</f>
        <v>0</v>
      </c>
      <c r="U32" s="140"/>
      <c r="V32" s="133"/>
      <c r="W32" s="152"/>
      <c r="X32" s="133"/>
      <c r="Y32" s="133"/>
      <c r="Z32" s="133"/>
      <c r="AA32" s="133"/>
      <c r="AB32" s="133"/>
      <c r="AC32" s="133"/>
      <c r="AD32" s="133"/>
      <c r="AE32" s="148"/>
    </row>
    <row r="33" spans="1:31">
      <c r="A33" s="227" t="s">
        <v>169</v>
      </c>
      <c r="B33" s="289"/>
      <c r="C33" s="289"/>
      <c r="D33" s="251">
        <f>D28+SUM(D30:D32)</f>
        <v>49014</v>
      </c>
      <c r="E33" s="252">
        <f>E28+SUM(E30:E32)</f>
        <v>49002</v>
      </c>
      <c r="F33" s="133"/>
      <c r="G33" s="152" t="s">
        <v>170</v>
      </c>
      <c r="H33" s="133"/>
      <c r="I33" s="266">
        <f t="shared" ref="I33:N33" si="18">I12</f>
        <v>6255</v>
      </c>
      <c r="J33" s="266">
        <f t="shared" si="18"/>
        <v>9789</v>
      </c>
      <c r="K33" s="266">
        <f t="shared" si="18"/>
        <v>15860</v>
      </c>
      <c r="L33" s="267">
        <f t="shared" si="18"/>
        <v>12194</v>
      </c>
      <c r="M33" s="268">
        <f t="shared" si="18"/>
        <v>6378</v>
      </c>
      <c r="N33" s="269">
        <f t="shared" si="18"/>
        <v>10044</v>
      </c>
      <c r="O33" s="133"/>
      <c r="P33" s="43" t="s">
        <v>171</v>
      </c>
      <c r="Q33" s="294">
        <v>0</v>
      </c>
      <c r="R33" s="298">
        <v>0</v>
      </c>
      <c r="S33" s="296">
        <f>+IF(R33&lt;$T$5,Q33,0)</f>
        <v>0</v>
      </c>
      <c r="T33" s="299">
        <f>IF(S33="NA","NA",S33*R33)</f>
        <v>0</v>
      </c>
      <c r="U33" s="140"/>
      <c r="V33" s="133"/>
      <c r="W33" s="152"/>
      <c r="X33" s="133"/>
      <c r="Y33" s="133"/>
      <c r="Z33" s="133"/>
      <c r="AA33" s="133"/>
      <c r="AB33" s="133"/>
      <c r="AC33" s="133"/>
      <c r="AD33" s="133"/>
      <c r="AE33" s="148"/>
    </row>
    <row r="34" spans="1:31">
      <c r="A34" s="204"/>
      <c r="B34" s="205"/>
      <c r="C34" s="205"/>
      <c r="D34" s="205"/>
      <c r="E34" s="231"/>
      <c r="F34" s="151"/>
      <c r="G34" s="152" t="s">
        <v>172</v>
      </c>
      <c r="H34" s="133"/>
      <c r="I34" s="208">
        <v>0</v>
      </c>
      <c r="J34" s="208">
        <v>0</v>
      </c>
      <c r="K34" s="208">
        <v>0</v>
      </c>
      <c r="L34" s="209">
        <v>0</v>
      </c>
      <c r="M34" s="210">
        <v>0</v>
      </c>
      <c r="N34" s="225">
        <f t="shared" ref="N34" si="19">N29</f>
        <v>0</v>
      </c>
      <c r="O34" s="133"/>
      <c r="P34" s="43" t="s">
        <v>173</v>
      </c>
      <c r="Q34" s="294">
        <v>0</v>
      </c>
      <c r="R34" s="298">
        <v>0</v>
      </c>
      <c r="S34" s="296">
        <f>+IF(R34&lt;$T$5,Q34,0)</f>
        <v>0</v>
      </c>
      <c r="T34" s="300">
        <f>IF(S34="NA","NA",S34*R34)</f>
        <v>0</v>
      </c>
      <c r="U34" s="140"/>
      <c r="V34" s="133"/>
      <c r="W34" s="152"/>
      <c r="X34" s="133"/>
      <c r="Y34" s="133"/>
      <c r="Z34" s="133"/>
      <c r="AA34" s="133"/>
      <c r="AB34" s="133"/>
      <c r="AC34" s="133"/>
      <c r="AD34" s="133"/>
      <c r="AE34" s="148"/>
    </row>
    <row r="35" spans="1:31">
      <c r="A35" s="301" t="s">
        <v>174</v>
      </c>
      <c r="B35" s="302"/>
      <c r="C35" s="302"/>
      <c r="D35" s="303">
        <f>D23-D33</f>
        <v>0</v>
      </c>
      <c r="E35" s="304">
        <f>E23-E33</f>
        <v>0</v>
      </c>
      <c r="F35" s="133"/>
      <c r="G35" s="152" t="s">
        <v>175</v>
      </c>
      <c r="H35" s="133"/>
      <c r="I35" s="208">
        <v>0</v>
      </c>
      <c r="J35" s="208">
        <v>0</v>
      </c>
      <c r="K35" s="208">
        <v>0</v>
      </c>
      <c r="L35" s="209">
        <v>0</v>
      </c>
      <c r="M35" s="210">
        <v>0</v>
      </c>
      <c r="N35" s="225">
        <f>K35+M35-L35</f>
        <v>0</v>
      </c>
      <c r="O35" s="272"/>
      <c r="P35" s="43" t="s">
        <v>176</v>
      </c>
      <c r="Q35" s="294">
        <v>0</v>
      </c>
      <c r="R35" s="298">
        <v>0</v>
      </c>
      <c r="S35" s="296">
        <f>+IF(R35&lt;$T$5,Q35,0)</f>
        <v>0</v>
      </c>
      <c r="T35" s="300">
        <f>IF(S35="NA","NA",S35*R35)</f>
        <v>0</v>
      </c>
      <c r="U35" s="140"/>
      <c r="V35" s="133"/>
      <c r="W35" s="152"/>
      <c r="X35" s="133"/>
      <c r="Y35" s="133"/>
      <c r="Z35" s="133"/>
      <c r="AA35" s="133"/>
      <c r="AB35" s="133"/>
      <c r="AC35" s="133"/>
      <c r="AD35" s="133"/>
      <c r="AE35" s="148"/>
    </row>
    <row r="36" spans="1:31">
      <c r="A36" s="133"/>
      <c r="B36" s="133"/>
      <c r="C36" s="133"/>
      <c r="D36" s="133"/>
      <c r="E36" s="133"/>
      <c r="F36" s="151"/>
      <c r="G36" s="152" t="s">
        <v>177</v>
      </c>
      <c r="H36" s="133"/>
      <c r="I36" s="208">
        <v>0</v>
      </c>
      <c r="J36" s="208">
        <v>0</v>
      </c>
      <c r="K36" s="208">
        <v>0</v>
      </c>
      <c r="L36" s="209">
        <v>0</v>
      </c>
      <c r="M36" s="210">
        <v>0</v>
      </c>
      <c r="N36" s="305">
        <f>K36+M36-L36</f>
        <v>0</v>
      </c>
      <c r="O36" s="306"/>
      <c r="P36" s="43" t="s">
        <v>178</v>
      </c>
      <c r="Q36" s="307">
        <v>0</v>
      </c>
      <c r="R36" s="308">
        <v>0</v>
      </c>
      <c r="S36" s="309">
        <f>+IF(R36&lt;$T$5,Q36,0)</f>
        <v>0</v>
      </c>
      <c r="T36" s="310">
        <f>IF(S36="NA","NA",S36*R36)</f>
        <v>0</v>
      </c>
      <c r="U36" s="140"/>
      <c r="V36" s="133"/>
      <c r="W36" s="152"/>
      <c r="X36" s="133"/>
      <c r="Y36" s="133"/>
      <c r="Z36" s="133"/>
      <c r="AA36" s="133"/>
      <c r="AB36" s="133"/>
      <c r="AC36" s="133"/>
      <c r="AD36" s="133"/>
      <c r="AE36" s="148"/>
    </row>
    <row r="37" spans="1:31">
      <c r="A37" s="137" t="s">
        <v>179</v>
      </c>
      <c r="B37" s="138"/>
      <c r="C37" s="138"/>
      <c r="D37" s="138"/>
      <c r="E37" s="139"/>
      <c r="F37" s="133"/>
      <c r="G37" s="152" t="s">
        <v>180</v>
      </c>
      <c r="H37" s="133"/>
      <c r="I37" s="311">
        <f t="shared" ref="I37:N37" si="20">+I72</f>
        <v>1212</v>
      </c>
      <c r="J37" s="311">
        <f t="shared" si="20"/>
        <v>1663</v>
      </c>
      <c r="K37" s="311">
        <f t="shared" si="20"/>
        <v>2031</v>
      </c>
      <c r="L37" s="312">
        <f t="shared" si="20"/>
        <v>1510</v>
      </c>
      <c r="M37" s="313">
        <f t="shared" si="20"/>
        <v>1876</v>
      </c>
      <c r="N37" s="314">
        <f t="shared" si="20"/>
        <v>2397</v>
      </c>
      <c r="O37" s="147"/>
      <c r="P37" s="315" t="s">
        <v>181</v>
      </c>
      <c r="Q37" s="316">
        <f>SUM(Q32:Q36)</f>
        <v>0</v>
      </c>
      <c r="R37" s="317"/>
      <c r="S37" s="316">
        <f>SUM(S32:S36)</f>
        <v>0</v>
      </c>
      <c r="T37" s="195">
        <f>SUM(T32:T36)</f>
        <v>0</v>
      </c>
      <c r="U37" s="133"/>
      <c r="V37" s="133"/>
      <c r="W37" s="152"/>
      <c r="X37" s="133"/>
      <c r="Y37" s="133"/>
      <c r="Z37" s="133"/>
      <c r="AA37" s="133"/>
      <c r="AB37" s="133"/>
      <c r="AC37" s="133"/>
      <c r="AD37" s="133"/>
      <c r="AE37" s="148"/>
    </row>
    <row r="38" spans="1:31">
      <c r="A38" s="318" t="s">
        <v>182</v>
      </c>
      <c r="B38" s="205"/>
      <c r="C38" s="133"/>
      <c r="D38" s="133"/>
      <c r="E38" s="319">
        <f>EOMONTH(E8,12)</f>
        <v>45199</v>
      </c>
      <c r="F38" s="320"/>
      <c r="G38" s="152" t="s">
        <v>183</v>
      </c>
      <c r="H38" s="133"/>
      <c r="I38" s="215">
        <v>0</v>
      </c>
      <c r="J38" s="215">
        <v>0</v>
      </c>
      <c r="K38" s="215">
        <v>0</v>
      </c>
      <c r="L38" s="216">
        <v>0</v>
      </c>
      <c r="M38" s="217">
        <v>0</v>
      </c>
      <c r="N38" s="321">
        <f>K38+M38-L38</f>
        <v>0</v>
      </c>
      <c r="O38" s="147"/>
      <c r="P38" s="273" t="s">
        <v>184</v>
      </c>
      <c r="Q38" s="274"/>
      <c r="R38" s="274"/>
      <c r="S38" s="274"/>
      <c r="T38" s="275"/>
      <c r="U38" s="133"/>
      <c r="V38" s="133"/>
      <c r="W38" s="152"/>
      <c r="X38" s="133"/>
      <c r="Y38" s="133"/>
      <c r="Z38" s="133"/>
      <c r="AA38" s="133"/>
      <c r="AB38" s="133"/>
      <c r="AC38" s="133"/>
      <c r="AD38" s="133"/>
      <c r="AE38" s="148"/>
    </row>
    <row r="39" spans="1:31">
      <c r="A39" s="318" t="s">
        <v>185</v>
      </c>
      <c r="B39" s="133"/>
      <c r="C39" s="290" t="s">
        <v>186</v>
      </c>
      <c r="D39" s="322" t="s">
        <v>187</v>
      </c>
      <c r="E39" s="241">
        <f>Z6</f>
        <v>60626.209307556477</v>
      </c>
      <c r="F39" s="133"/>
      <c r="G39" s="182" t="s">
        <v>188</v>
      </c>
      <c r="H39" s="133"/>
      <c r="I39" s="183">
        <f>SUM(I33:I38)+I29</f>
        <v>7467</v>
      </c>
      <c r="J39" s="183">
        <f t="shared" ref="J39:N39" si="21">SUM(J33:J38)+J29</f>
        <v>11452</v>
      </c>
      <c r="K39" s="183">
        <f t="shared" si="21"/>
        <v>17891</v>
      </c>
      <c r="L39" s="184">
        <f t="shared" si="21"/>
        <v>13704</v>
      </c>
      <c r="M39" s="185">
        <f t="shared" si="21"/>
        <v>8254</v>
      </c>
      <c r="N39" s="173">
        <f t="shared" si="21"/>
        <v>12441</v>
      </c>
      <c r="O39" s="147"/>
      <c r="P39" s="323"/>
      <c r="Q39" s="32"/>
      <c r="R39" s="324" t="s">
        <v>189</v>
      </c>
      <c r="S39" s="324" t="s">
        <v>190</v>
      </c>
      <c r="T39" s="325" t="s">
        <v>191</v>
      </c>
      <c r="U39" s="133"/>
      <c r="V39" s="133"/>
      <c r="W39" s="152"/>
      <c r="X39" s="133"/>
      <c r="Y39" s="133"/>
      <c r="Z39" s="133"/>
      <c r="AA39" s="133"/>
      <c r="AB39" s="133"/>
      <c r="AC39" s="133"/>
      <c r="AD39" s="133"/>
      <c r="AE39" s="148"/>
    </row>
    <row r="40" spans="1:31">
      <c r="A40" s="318" t="s">
        <v>192</v>
      </c>
      <c r="B40" s="133"/>
      <c r="C40" s="133"/>
      <c r="D40" s="326" t="s">
        <v>193</v>
      </c>
      <c r="E40" s="241">
        <f>Z11</f>
        <v>23516.110398593799</v>
      </c>
      <c r="F40" s="133"/>
      <c r="G40" s="281" t="s">
        <v>163</v>
      </c>
      <c r="H40" s="157"/>
      <c r="I40" s="282">
        <f t="shared" ref="I40:N40" si="22">IF(ISERROR(I39/I8),"NA",I39/I8)</f>
        <v>0.31732608048956695</v>
      </c>
      <c r="J40" s="282">
        <f t="shared" si="22"/>
        <v>0.3411785735565751</v>
      </c>
      <c r="K40" s="282">
        <f t="shared" si="22"/>
        <v>0.40477375565610862</v>
      </c>
      <c r="L40" s="283">
        <f t="shared" si="22"/>
        <v>0.41774119798811155</v>
      </c>
      <c r="M40" s="284">
        <f t="shared" si="22"/>
        <v>0.30357865313178123</v>
      </c>
      <c r="N40" s="285">
        <f t="shared" si="22"/>
        <v>0.32243935309973049</v>
      </c>
      <c r="O40" s="147"/>
      <c r="P40" s="323"/>
      <c r="Q40" s="287" t="s">
        <v>194</v>
      </c>
      <c r="R40" s="327" t="s">
        <v>24</v>
      </c>
      <c r="S40" s="327" t="s">
        <v>195</v>
      </c>
      <c r="T40" s="328" t="s">
        <v>165</v>
      </c>
      <c r="U40" s="133"/>
      <c r="V40" s="133"/>
      <c r="W40" s="152"/>
      <c r="X40" s="133"/>
      <c r="Y40" s="133"/>
      <c r="Z40" s="133"/>
      <c r="AA40" s="133"/>
      <c r="AB40" s="133"/>
      <c r="AC40" s="133"/>
      <c r="AD40" s="133"/>
      <c r="AE40" s="148"/>
    </row>
    <row r="41" spans="1:31">
      <c r="A41" s="318" t="s">
        <v>196</v>
      </c>
      <c r="B41" s="133"/>
      <c r="C41" s="133"/>
      <c r="D41" s="322"/>
      <c r="E41" s="241">
        <f>Z12</f>
        <v>21754.110398593799</v>
      </c>
      <c r="F41" s="133"/>
      <c r="G41" s="152"/>
      <c r="H41" s="133"/>
      <c r="I41" s="133"/>
      <c r="J41" s="133"/>
      <c r="K41" s="290"/>
      <c r="L41" s="291"/>
      <c r="M41" s="292"/>
      <c r="N41" s="293"/>
      <c r="O41" s="147"/>
      <c r="P41" s="323" t="s">
        <v>197</v>
      </c>
      <c r="Q41" s="294">
        <v>0</v>
      </c>
      <c r="R41" s="295">
        <v>0</v>
      </c>
      <c r="S41" s="329">
        <f>IF(ISERROR(1000/R41),0,(1000/R41))</f>
        <v>0</v>
      </c>
      <c r="T41" s="300">
        <f>+IF(R41&lt;$T$5,IF(ISERROR(Q41/R41),0,Q41/R41),0)</f>
        <v>0</v>
      </c>
      <c r="U41" s="133"/>
      <c r="V41" s="133"/>
      <c r="W41" s="152"/>
      <c r="X41" s="133"/>
      <c r="Y41" s="133"/>
      <c r="Z41" s="133"/>
      <c r="AA41" s="133"/>
      <c r="AB41" s="133"/>
      <c r="AC41" s="133"/>
      <c r="AD41" s="133"/>
      <c r="AE41" s="148"/>
    </row>
    <row r="42" spans="1:31">
      <c r="A42" s="318" t="s">
        <v>198</v>
      </c>
      <c r="B42" s="133"/>
      <c r="C42" s="133"/>
      <c r="D42" s="326"/>
      <c r="E42" s="330">
        <v>8.33</v>
      </c>
      <c r="F42" s="133"/>
      <c r="G42" s="152" t="s">
        <v>199</v>
      </c>
      <c r="H42" s="133"/>
      <c r="I42" s="311">
        <f t="shared" ref="I42:N42" si="23">+I70</f>
        <v>1393</v>
      </c>
      <c r="J42" s="311">
        <f t="shared" si="23"/>
        <v>1582</v>
      </c>
      <c r="K42" s="311">
        <f t="shared" si="23"/>
        <v>1762</v>
      </c>
      <c r="L42" s="312">
        <f t="shared" si="23"/>
        <v>1272</v>
      </c>
      <c r="M42" s="313">
        <f t="shared" si="23"/>
        <v>1347</v>
      </c>
      <c r="N42" s="314">
        <f t="shared" si="23"/>
        <v>1837</v>
      </c>
      <c r="O42" s="133"/>
      <c r="P42" s="323" t="s">
        <v>200</v>
      </c>
      <c r="Q42" s="294">
        <v>0</v>
      </c>
      <c r="R42" s="298">
        <v>0</v>
      </c>
      <c r="S42" s="329">
        <f>IF(ISERROR(1000/R42),0,(1000/R42))</f>
        <v>0</v>
      </c>
      <c r="T42" s="300">
        <f>+IF(R42&lt;$T$5,IF(ISERROR(Q42/R42),0,Q42/R42),0)</f>
        <v>0</v>
      </c>
      <c r="U42" s="133"/>
      <c r="V42" s="133"/>
      <c r="W42" s="152"/>
      <c r="X42" s="133"/>
      <c r="Y42" s="133"/>
      <c r="Z42" s="133"/>
      <c r="AA42" s="133"/>
      <c r="AB42" s="133"/>
      <c r="AC42" s="133"/>
      <c r="AD42" s="133"/>
      <c r="AE42" s="148"/>
    </row>
    <row r="43" spans="1:31">
      <c r="A43" s="144"/>
      <c r="B43" s="133"/>
      <c r="C43" s="133"/>
      <c r="D43" s="133"/>
      <c r="E43" s="201"/>
      <c r="F43" s="133"/>
      <c r="G43" s="152" t="s">
        <v>201</v>
      </c>
      <c r="H43" s="133"/>
      <c r="I43" s="215">
        <v>0</v>
      </c>
      <c r="J43" s="215">
        <v>0</v>
      </c>
      <c r="K43" s="215">
        <v>0</v>
      </c>
      <c r="L43" s="216">
        <v>0</v>
      </c>
      <c r="M43" s="217">
        <v>0</v>
      </c>
      <c r="N43" s="331">
        <f>K43+M43-L43</f>
        <v>0</v>
      </c>
      <c r="O43" s="133"/>
      <c r="P43" s="323" t="s">
        <v>202</v>
      </c>
      <c r="Q43" s="294">
        <v>0</v>
      </c>
      <c r="R43" s="298">
        <v>0</v>
      </c>
      <c r="S43" s="329">
        <f>IF(ISERROR(1000/R43),0,(1000/R43))</f>
        <v>0</v>
      </c>
      <c r="T43" s="300">
        <f>+IF(R43&lt;$T$5,IF(ISERROR(Q43/R43),0,Q43/R43),0)</f>
        <v>0</v>
      </c>
      <c r="U43" s="133"/>
      <c r="V43" s="133"/>
      <c r="W43" s="152"/>
      <c r="X43" s="133"/>
      <c r="Y43" s="133"/>
      <c r="Z43" s="133"/>
      <c r="AA43" s="133"/>
      <c r="AB43" s="133"/>
      <c r="AC43" s="133"/>
      <c r="AD43" s="133"/>
      <c r="AE43" s="148"/>
    </row>
    <row r="44" spans="1:31">
      <c r="A44" s="318" t="s">
        <v>182</v>
      </c>
      <c r="B44" s="133"/>
      <c r="C44" s="133"/>
      <c r="D44" s="133"/>
      <c r="E44" s="319">
        <f>EOMONTH(E38,12)</f>
        <v>45565</v>
      </c>
      <c r="F44" s="133"/>
      <c r="G44" s="182" t="s">
        <v>203</v>
      </c>
      <c r="H44" s="133"/>
      <c r="I44" s="183">
        <f t="shared" ref="I44:N44" si="24">+I39+SUM(I42:I43)</f>
        <v>8860</v>
      </c>
      <c r="J44" s="183">
        <f t="shared" si="24"/>
        <v>13034</v>
      </c>
      <c r="K44" s="183">
        <f t="shared" si="24"/>
        <v>19653</v>
      </c>
      <c r="L44" s="184">
        <f t="shared" si="24"/>
        <v>14976</v>
      </c>
      <c r="M44" s="185">
        <f t="shared" si="24"/>
        <v>9601</v>
      </c>
      <c r="N44" s="173">
        <f t="shared" si="24"/>
        <v>14278</v>
      </c>
      <c r="O44" s="133"/>
      <c r="P44" s="332" t="s">
        <v>181</v>
      </c>
      <c r="Q44" s="333"/>
      <c r="R44" s="334"/>
      <c r="S44" s="333"/>
      <c r="T44" s="335">
        <f>SUM(T41:T43)</f>
        <v>0</v>
      </c>
      <c r="U44" s="133"/>
      <c r="V44" s="133"/>
      <c r="W44" s="152"/>
      <c r="X44" s="133"/>
      <c r="Y44" s="133"/>
      <c r="Z44" s="133"/>
      <c r="AA44" s="133"/>
      <c r="AB44" s="133"/>
      <c r="AC44" s="133"/>
      <c r="AD44" s="133"/>
      <c r="AE44" s="148"/>
    </row>
    <row r="45" spans="1:31">
      <c r="A45" s="318" t="s">
        <v>204</v>
      </c>
      <c r="B45" s="133"/>
      <c r="C45" s="290" t="s">
        <v>186</v>
      </c>
      <c r="D45" s="322" t="s">
        <v>187</v>
      </c>
      <c r="E45" s="241">
        <f>AA6</f>
        <v>83156.951470670756</v>
      </c>
      <c r="F45" s="133"/>
      <c r="G45" s="281" t="s">
        <v>163</v>
      </c>
      <c r="H45" s="157"/>
      <c r="I45" s="282">
        <f t="shared" ref="I45:N45" si="25">IF(ISERROR(I44/I8),"NA",I44/I8)</f>
        <v>0.37652458459054011</v>
      </c>
      <c r="J45" s="282">
        <f t="shared" si="25"/>
        <v>0.38830959899898709</v>
      </c>
      <c r="K45" s="282">
        <f t="shared" si="25"/>
        <v>0.44463800904977374</v>
      </c>
      <c r="L45" s="283">
        <f t="shared" si="25"/>
        <v>0.45651577503429358</v>
      </c>
      <c r="M45" s="284">
        <f t="shared" si="25"/>
        <v>0.35312074736106513</v>
      </c>
      <c r="N45" s="285">
        <f t="shared" si="25"/>
        <v>0.3700497615591955</v>
      </c>
      <c r="O45" s="133"/>
      <c r="P45" s="336"/>
      <c r="Q45" s="337"/>
      <c r="R45" s="338"/>
      <c r="S45" s="329"/>
      <c r="T45" s="329"/>
      <c r="U45" s="133"/>
      <c r="V45" s="133"/>
      <c r="W45" s="152"/>
      <c r="X45" s="133"/>
      <c r="Y45" s="133"/>
      <c r="Z45" s="133"/>
      <c r="AA45" s="133"/>
      <c r="AB45" s="133"/>
      <c r="AC45" s="133"/>
      <c r="AD45" s="133"/>
      <c r="AE45" s="148"/>
    </row>
    <row r="46" spans="1:31">
      <c r="A46" s="318" t="s">
        <v>205</v>
      </c>
      <c r="B46" s="133"/>
      <c r="C46" s="133"/>
      <c r="D46" s="326" t="s">
        <v>193</v>
      </c>
      <c r="E46" s="241">
        <f>AA11</f>
        <v>31600.670821828924</v>
      </c>
      <c r="F46" s="133"/>
      <c r="G46" s="152"/>
      <c r="H46" s="133"/>
      <c r="I46" s="133"/>
      <c r="J46" s="133"/>
      <c r="K46" s="339"/>
      <c r="L46" s="133"/>
      <c r="M46" s="339"/>
      <c r="N46" s="148"/>
      <c r="O46" s="133"/>
      <c r="P46" s="137" t="s">
        <v>206</v>
      </c>
      <c r="Q46" s="138"/>
      <c r="R46" s="138"/>
      <c r="S46" s="138"/>
      <c r="T46" s="139"/>
      <c r="U46" s="133"/>
      <c r="V46" s="133"/>
      <c r="W46" s="152"/>
      <c r="X46" s="133"/>
      <c r="Y46" s="133"/>
      <c r="Z46" s="133"/>
      <c r="AA46" s="133"/>
      <c r="AB46" s="133"/>
      <c r="AC46" s="133"/>
      <c r="AD46" s="133"/>
      <c r="AE46" s="148"/>
    </row>
    <row r="47" spans="1:31">
      <c r="A47" s="318" t="s">
        <v>207</v>
      </c>
      <c r="B47" s="133"/>
      <c r="C47" s="133"/>
      <c r="D47" s="322"/>
      <c r="E47" s="241">
        <f>AA12</f>
        <v>29838.670821828924</v>
      </c>
      <c r="F47" s="133"/>
      <c r="G47" s="152" t="s">
        <v>208</v>
      </c>
      <c r="H47" s="133"/>
      <c r="I47" s="266">
        <f t="shared" ref="I47:N47" si="26">I19</f>
        <v>5198</v>
      </c>
      <c r="J47" s="266">
        <f t="shared" si="26"/>
        <v>9043</v>
      </c>
      <c r="K47" s="266">
        <f t="shared" si="26"/>
        <v>12936</v>
      </c>
      <c r="L47" s="267">
        <f t="shared" si="26"/>
        <v>10063</v>
      </c>
      <c r="M47" s="268">
        <f t="shared" si="26"/>
        <v>5742</v>
      </c>
      <c r="N47" s="269">
        <f t="shared" si="26"/>
        <v>8615</v>
      </c>
      <c r="O47" s="133"/>
      <c r="P47" s="144"/>
      <c r="Q47" s="133"/>
      <c r="R47" s="32" t="str">
        <f>N6</f>
        <v>LTM</v>
      </c>
      <c r="S47" s="32" t="s">
        <v>209</v>
      </c>
      <c r="T47" s="279" t="s">
        <v>210</v>
      </c>
      <c r="U47" s="140"/>
      <c r="V47" s="133"/>
      <c r="W47" s="152"/>
      <c r="X47" s="133"/>
      <c r="Y47" s="133"/>
      <c r="Z47" s="133"/>
      <c r="AA47" s="133"/>
      <c r="AB47" s="133"/>
      <c r="AC47" s="133"/>
      <c r="AD47" s="133"/>
      <c r="AE47" s="148"/>
    </row>
    <row r="48" spans="1:31">
      <c r="A48" s="318" t="s">
        <v>211</v>
      </c>
      <c r="B48" s="133"/>
      <c r="C48" s="133"/>
      <c r="D48" s="326"/>
      <c r="E48" s="330">
        <v>9.18</v>
      </c>
      <c r="F48" s="133"/>
      <c r="G48" s="152" t="s">
        <v>156</v>
      </c>
      <c r="H48" s="133"/>
      <c r="I48" s="340">
        <f t="shared" ref="I48:N48" si="27">I29</f>
        <v>0</v>
      </c>
      <c r="J48" s="340">
        <f t="shared" si="27"/>
        <v>0</v>
      </c>
      <c r="K48" s="340">
        <f t="shared" si="27"/>
        <v>0</v>
      </c>
      <c r="L48" s="341">
        <f t="shared" si="27"/>
        <v>0</v>
      </c>
      <c r="M48" s="342">
        <f t="shared" si="27"/>
        <v>0</v>
      </c>
      <c r="N48" s="305">
        <f t="shared" si="27"/>
        <v>0</v>
      </c>
      <c r="O48" s="133"/>
      <c r="P48" s="144"/>
      <c r="Q48" s="133"/>
      <c r="R48" s="287">
        <f>N7</f>
        <v>45102</v>
      </c>
      <c r="S48" s="343">
        <f>+D68</f>
        <v>45291</v>
      </c>
      <c r="T48" s="344">
        <f>S48+365</f>
        <v>45656</v>
      </c>
      <c r="U48" s="140"/>
      <c r="V48" s="133"/>
      <c r="W48" s="152"/>
      <c r="X48" s="133"/>
      <c r="Y48" s="133"/>
      <c r="Z48" s="133"/>
      <c r="AA48" s="133"/>
      <c r="AB48" s="133"/>
      <c r="AC48" s="133"/>
      <c r="AD48" s="133"/>
      <c r="AE48" s="148"/>
    </row>
    <row r="49" spans="1:31">
      <c r="A49" s="144"/>
      <c r="B49" s="133"/>
      <c r="C49" s="133"/>
      <c r="D49" s="133"/>
      <c r="E49" s="201"/>
      <c r="F49" s="133"/>
      <c r="G49" s="152" t="s">
        <v>212</v>
      </c>
      <c r="H49" s="133"/>
      <c r="I49" s="296">
        <f>+SUM(I34:I38)</f>
        <v>1212</v>
      </c>
      <c r="J49" s="296">
        <f t="shared" ref="J49:N49" si="28">+SUM(J34:J38)</f>
        <v>1663</v>
      </c>
      <c r="K49" s="345">
        <f t="shared" si="28"/>
        <v>2031</v>
      </c>
      <c r="L49" s="296">
        <f t="shared" si="28"/>
        <v>1510</v>
      </c>
      <c r="M49" s="345">
        <f t="shared" si="28"/>
        <v>1876</v>
      </c>
      <c r="N49" s="346">
        <f t="shared" si="28"/>
        <v>2397</v>
      </c>
      <c r="O49" s="133"/>
      <c r="P49" s="144" t="s">
        <v>213</v>
      </c>
      <c r="Q49" s="133"/>
      <c r="R49" s="347">
        <f>IF(ISERROR(T17/N8),"NA",T17/N8)</f>
        <v>4.06900580551524</v>
      </c>
      <c r="S49" s="347">
        <f>IF(ISERROR($T$17/D69),"NA",$T$17/D69)</f>
        <v>2.3678164240757997</v>
      </c>
      <c r="T49" s="348">
        <f t="shared" ref="S49:T51" si="29">IF(ISERROR($T$17/E69),"NA",$T$17/E69)</f>
        <v>1.726274611912868</v>
      </c>
      <c r="U49" s="140"/>
      <c r="V49" s="133"/>
      <c r="W49" s="152"/>
      <c r="X49" s="133"/>
      <c r="Y49" s="133"/>
      <c r="Z49" s="133"/>
      <c r="AA49" s="133"/>
      <c r="AB49" s="133"/>
      <c r="AC49" s="133"/>
      <c r="AD49" s="133"/>
      <c r="AE49" s="148"/>
    </row>
    <row r="50" spans="1:31">
      <c r="A50" s="318" t="s">
        <v>182</v>
      </c>
      <c r="B50" s="133"/>
      <c r="C50" s="133"/>
      <c r="D50" s="133"/>
      <c r="E50" s="319">
        <f>EOMONTH(E44,12)</f>
        <v>45930</v>
      </c>
      <c r="F50" s="133"/>
      <c r="G50" s="152" t="s">
        <v>214</v>
      </c>
      <c r="H50" s="133"/>
      <c r="I50" s="208">
        <v>0</v>
      </c>
      <c r="J50" s="208">
        <v>0</v>
      </c>
      <c r="K50" s="208">
        <v>0</v>
      </c>
      <c r="L50" s="209">
        <v>0</v>
      </c>
      <c r="M50" s="210">
        <v>0</v>
      </c>
      <c r="N50" s="346">
        <f t="shared" ref="N50" si="30">+N43</f>
        <v>0</v>
      </c>
      <c r="O50" s="306"/>
      <c r="P50" s="144" t="s">
        <v>69</v>
      </c>
      <c r="Q50" s="133"/>
      <c r="R50" s="347">
        <f>IF(ISERROR($T$17/N44),"NA",T17/N44)</f>
        <v>10.99583415044124</v>
      </c>
      <c r="S50" s="347">
        <f t="shared" si="29"/>
        <v>6.14382734877407</v>
      </c>
      <c r="T50" s="348">
        <f t="shared" si="29"/>
        <v>4.5644783149861894</v>
      </c>
      <c r="U50" s="140"/>
      <c r="V50" s="133"/>
      <c r="W50" s="152"/>
      <c r="X50" s="133"/>
      <c r="Y50" s="133"/>
      <c r="Z50" s="133"/>
      <c r="AA50" s="133"/>
      <c r="AB50" s="133"/>
      <c r="AC50" s="133"/>
      <c r="AD50" s="133"/>
      <c r="AE50" s="148"/>
    </row>
    <row r="51" spans="1:31">
      <c r="A51" s="318" t="s">
        <v>215</v>
      </c>
      <c r="B51" s="133"/>
      <c r="C51" s="290" t="s">
        <v>186</v>
      </c>
      <c r="D51" s="322" t="s">
        <v>187</v>
      </c>
      <c r="E51" s="241">
        <f>AB6</f>
        <v>114060.87658912221</v>
      </c>
      <c r="F51" s="133"/>
      <c r="G51" s="152" t="s">
        <v>216</v>
      </c>
      <c r="H51" s="133"/>
      <c r="I51" s="296">
        <f t="shared" ref="I51:N51" si="31">-(SUM(I48:I50)*($E$10))</f>
        <v>-254.51999999999998</v>
      </c>
      <c r="J51" s="296">
        <f t="shared" si="31"/>
        <v>-349.22999999999996</v>
      </c>
      <c r="K51" s="345">
        <f t="shared" si="31"/>
        <v>-426.51</v>
      </c>
      <c r="L51" s="296">
        <f t="shared" si="31"/>
        <v>-317.09999999999997</v>
      </c>
      <c r="M51" s="345">
        <f t="shared" si="31"/>
        <v>-393.96</v>
      </c>
      <c r="N51" s="346">
        <f t="shared" si="31"/>
        <v>-503.37</v>
      </c>
      <c r="O51" s="133"/>
      <c r="P51" s="144" t="s">
        <v>70</v>
      </c>
      <c r="Q51" s="133"/>
      <c r="R51" s="347">
        <f>IF(ISERROR($T$17/N39),"NA",T17/N39)</f>
        <v>12.619445382204004</v>
      </c>
      <c r="S51" s="347">
        <f t="shared" si="29"/>
        <v>6.5988326572604246</v>
      </c>
      <c r="T51" s="348">
        <f t="shared" si="29"/>
        <v>4.810929246314549</v>
      </c>
      <c r="U51" s="140"/>
      <c r="V51" s="133"/>
      <c r="W51" s="152"/>
      <c r="X51" s="133"/>
      <c r="Y51" s="133"/>
      <c r="Z51" s="133"/>
      <c r="AA51" s="133"/>
      <c r="AB51" s="133"/>
      <c r="AC51" s="133"/>
      <c r="AD51" s="133"/>
      <c r="AE51" s="148"/>
    </row>
    <row r="52" spans="1:31" ht="15.75" thickBot="1">
      <c r="A52" s="318" t="s">
        <v>217</v>
      </c>
      <c r="B52" s="133"/>
      <c r="C52" s="133"/>
      <c r="D52" s="326" t="s">
        <v>193</v>
      </c>
      <c r="E52" s="241">
        <f>AB11</f>
        <v>42689.726305508557</v>
      </c>
      <c r="F52" s="133"/>
      <c r="G52" s="182" t="s">
        <v>218</v>
      </c>
      <c r="H52" s="133"/>
      <c r="I52" s="232">
        <f t="shared" ref="I52:N52" si="32">SUM(I47:I51)</f>
        <v>6155.48</v>
      </c>
      <c r="J52" s="232">
        <f t="shared" si="32"/>
        <v>10356.77</v>
      </c>
      <c r="K52" s="232">
        <f t="shared" si="32"/>
        <v>14540.49</v>
      </c>
      <c r="L52" s="233">
        <f t="shared" si="32"/>
        <v>11255.9</v>
      </c>
      <c r="M52" s="234">
        <f t="shared" si="32"/>
        <v>7224.04</v>
      </c>
      <c r="N52" s="235">
        <f t="shared" si="32"/>
        <v>10508.63</v>
      </c>
      <c r="O52" s="133"/>
      <c r="P52" s="144" t="s">
        <v>72</v>
      </c>
      <c r="Q52" s="133"/>
      <c r="R52" s="347">
        <f>IF(ISERROR($T$5/N57),"NA",T5/N57)</f>
        <v>14.127238279395128</v>
      </c>
      <c r="S52" s="347">
        <f>IF(ISERROR($T$5/D72),"NA",$T$5/D72)</f>
        <v>15.458355378128358</v>
      </c>
      <c r="T52" s="348">
        <f>IF(ISERROR($T$5/E72),"NA",$T$5/E72)</f>
        <v>14.108881045613913</v>
      </c>
      <c r="U52" s="140"/>
      <c r="V52" s="133"/>
      <c r="W52" s="349"/>
      <c r="X52" s="350"/>
      <c r="Y52" s="350"/>
      <c r="Z52" s="350"/>
      <c r="AA52" s="350"/>
      <c r="AB52" s="350"/>
      <c r="AC52" s="350"/>
      <c r="AD52" s="350"/>
      <c r="AE52" s="351"/>
    </row>
    <row r="53" spans="1:31" ht="15.75" thickTop="1">
      <c r="A53" s="318" t="s">
        <v>219</v>
      </c>
      <c r="B53" s="133"/>
      <c r="C53" s="133"/>
      <c r="D53" s="322"/>
      <c r="E53" s="241">
        <f>AB12</f>
        <v>40927.726305508557</v>
      </c>
      <c r="F53" s="133"/>
      <c r="G53" s="281" t="s">
        <v>163</v>
      </c>
      <c r="H53" s="157"/>
      <c r="I53" s="282">
        <f t="shared" ref="I53:N53" si="33">IF(ISERROR(I52/I8),"NA",I52/I8)</f>
        <v>0.26159024265862052</v>
      </c>
      <c r="J53" s="282">
        <f t="shared" si="33"/>
        <v>0.30854942501340643</v>
      </c>
      <c r="K53" s="282">
        <f t="shared" si="33"/>
        <v>0.3289703619909502</v>
      </c>
      <c r="L53" s="283">
        <f t="shared" si="33"/>
        <v>0.34311537875323883</v>
      </c>
      <c r="M53" s="284">
        <f t="shared" si="33"/>
        <v>0.26569715693846774</v>
      </c>
      <c r="N53" s="285">
        <f t="shared" si="33"/>
        <v>0.27235719469210035</v>
      </c>
      <c r="O53" s="133"/>
      <c r="P53" s="180" t="s">
        <v>220</v>
      </c>
      <c r="Q53" s="181"/>
      <c r="R53" s="347">
        <f>IF(ISERROR($T$11/(N73-N74)),"NA",($T$11/(N73-N74)))</f>
        <v>22.013333333333335</v>
      </c>
      <c r="S53" s="352"/>
      <c r="T53" s="353"/>
      <c r="U53" s="140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</row>
    <row r="54" spans="1:31">
      <c r="A54" s="318" t="s">
        <v>221</v>
      </c>
      <c r="B54" s="133"/>
      <c r="C54" s="133"/>
      <c r="D54" s="326"/>
      <c r="E54" s="330">
        <v>9.9</v>
      </c>
      <c r="F54" s="133"/>
      <c r="G54" s="152"/>
      <c r="H54" s="133"/>
      <c r="I54" s="290"/>
      <c r="J54" s="290"/>
      <c r="K54" s="290"/>
      <c r="L54" s="291"/>
      <c r="M54" s="292"/>
      <c r="N54" s="293"/>
      <c r="O54" s="133"/>
      <c r="P54" s="137" t="s">
        <v>222</v>
      </c>
      <c r="Q54" s="138"/>
      <c r="R54" s="138"/>
      <c r="S54" s="138"/>
      <c r="T54" s="139"/>
      <c r="U54" s="140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</row>
    <row r="55" spans="1:31">
      <c r="A55" s="144"/>
      <c r="B55" s="133"/>
      <c r="C55" s="133"/>
      <c r="D55" s="133"/>
      <c r="E55" s="201"/>
      <c r="F55" s="133"/>
      <c r="G55" s="152" t="s">
        <v>223</v>
      </c>
      <c r="H55" s="133"/>
      <c r="I55" s="208">
        <v>0</v>
      </c>
      <c r="J55" s="208">
        <v>0</v>
      </c>
      <c r="K55" s="208">
        <v>0</v>
      </c>
      <c r="L55" s="209">
        <v>0</v>
      </c>
      <c r="M55" s="210">
        <v>0</v>
      </c>
      <c r="N55" s="193">
        <f>+IF(ISERROR(K55+M55-L55),"NA",K55+M55-L55)</f>
        <v>0</v>
      </c>
      <c r="O55" s="354"/>
      <c r="P55" s="355" t="s">
        <v>224</v>
      </c>
      <c r="Q55" s="356"/>
      <c r="R55" s="356"/>
      <c r="S55" s="356"/>
      <c r="T55" s="357"/>
      <c r="U55" s="140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</row>
    <row r="56" spans="1:31">
      <c r="A56" s="318" t="s">
        <v>225</v>
      </c>
      <c r="B56" s="133"/>
      <c r="C56" s="133"/>
      <c r="D56" s="133"/>
      <c r="E56" s="358">
        <f>MAX(0,D68-E38)</f>
        <v>92</v>
      </c>
      <c r="F56" s="133"/>
      <c r="G56" s="152" t="s">
        <v>226</v>
      </c>
      <c r="H56" s="133"/>
      <c r="I56" s="208">
        <v>0</v>
      </c>
      <c r="J56" s="208">
        <v>0</v>
      </c>
      <c r="K56" s="208">
        <v>0</v>
      </c>
      <c r="L56" s="209">
        <v>0</v>
      </c>
      <c r="M56" s="210">
        <v>0</v>
      </c>
      <c r="N56" s="193">
        <f>+IF(ISERROR(K56+M56-L56),"NA",K56+M56-L56)</f>
        <v>0</v>
      </c>
      <c r="O56" s="354"/>
      <c r="P56" s="144"/>
      <c r="Q56" s="133"/>
      <c r="R56" s="359" t="s">
        <v>28</v>
      </c>
      <c r="S56" s="359" t="s">
        <v>29</v>
      </c>
      <c r="T56" s="360" t="s">
        <v>31</v>
      </c>
      <c r="U56" s="140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</row>
    <row r="57" spans="1:31">
      <c r="A57" s="318" t="s">
        <v>227</v>
      </c>
      <c r="B57" s="133"/>
      <c r="C57" s="133"/>
      <c r="D57" s="133"/>
      <c r="E57" s="358">
        <f>MAX(0,E38-D68)</f>
        <v>0</v>
      </c>
      <c r="F57" s="133"/>
      <c r="G57" s="361" t="s">
        <v>228</v>
      </c>
      <c r="H57" s="133"/>
      <c r="I57" s="362">
        <f>IF(ISERROR((I52+I55)/(I21+I56)),0,((I52+I55)/(I21+I56)))</f>
        <v>5.3572497824194949</v>
      </c>
      <c r="J57" s="362">
        <f t="shared" ref="J57:N57" si="34">IF(ISERROR((J52+J55)/(J21+J56)),0,((J52+J55)/(J21+J56)))</f>
        <v>9.0137249782419495</v>
      </c>
      <c r="K57" s="362">
        <f t="shared" si="34"/>
        <v>12.788469656992085</v>
      </c>
      <c r="L57" s="363">
        <f t="shared" si="34"/>
        <v>9.8822651448639149</v>
      </c>
      <c r="M57" s="364">
        <f t="shared" si="34"/>
        <v>6.4156660746003551</v>
      </c>
      <c r="N57" s="365">
        <f t="shared" si="34"/>
        <v>9.3493149466192165</v>
      </c>
      <c r="O57" s="354"/>
      <c r="P57" s="366" t="s">
        <v>229</v>
      </c>
      <c r="Q57" s="133"/>
      <c r="R57" s="133"/>
      <c r="S57" s="133"/>
      <c r="T57" s="201"/>
      <c r="U57" s="140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</row>
    <row r="58" spans="1:31">
      <c r="A58" s="318" t="s">
        <v>230</v>
      </c>
      <c r="B58" s="367"/>
      <c r="C58" s="367"/>
      <c r="D58" s="367"/>
      <c r="E58" s="368">
        <f>IF(E57&gt;0,E57/365,0)</f>
        <v>0</v>
      </c>
      <c r="F58" s="133"/>
      <c r="G58" s="152"/>
      <c r="H58" s="133"/>
      <c r="I58" s="133"/>
      <c r="J58" s="133"/>
      <c r="K58" s="133"/>
      <c r="L58" s="133"/>
      <c r="M58" s="133"/>
      <c r="N58" s="148"/>
      <c r="O58" s="354"/>
      <c r="P58" s="144" t="s">
        <v>231</v>
      </c>
      <c r="Q58" s="133"/>
      <c r="R58" s="369">
        <f>IF(MONTH(E8)=12,(K8/J8-1),(E63/D63-1))</f>
        <v>0.33365991053725352</v>
      </c>
      <c r="S58" s="369">
        <f>IF(MONTH(E8)=12,(K44/J44-1),(E64/D64-1))</f>
        <v>0.40295357795186804</v>
      </c>
      <c r="T58" s="370">
        <f>IF(MONTH(E8)=12,(K57/J57-1),(E66/D66-1))</f>
        <v>0.17054640935859333</v>
      </c>
      <c r="U58" s="140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</row>
    <row r="59" spans="1:31">
      <c r="A59" s="318" t="s">
        <v>232</v>
      </c>
      <c r="B59" s="367"/>
      <c r="C59" s="367"/>
      <c r="D59" s="367"/>
      <c r="E59" s="368">
        <f>IF(E56&gt;0,(365-E56)/365,1-E58)</f>
        <v>0.74794520547945209</v>
      </c>
      <c r="F59" s="133"/>
      <c r="G59" s="371" t="s">
        <v>233</v>
      </c>
      <c r="H59" s="372"/>
      <c r="I59" s="372"/>
      <c r="J59" s="372"/>
      <c r="K59" s="372"/>
      <c r="L59" s="372"/>
      <c r="M59" s="372"/>
      <c r="N59" s="373"/>
      <c r="O59" s="354"/>
      <c r="P59" s="144" t="s">
        <v>234</v>
      </c>
      <c r="Q59" s="133"/>
      <c r="R59" s="369">
        <f>IF(MONTH(E8)=12,((K8/I8)^(1/2)-1),((E63/C63)^(1/2)-1))</f>
        <v>0.36196016278910248</v>
      </c>
      <c r="S59" s="369">
        <f>IF(MONTH(E8)=12,((K44/I44)^(1/2)-1),((E64/C64)^(1/2)-1))</f>
        <v>0.44255610133898093</v>
      </c>
      <c r="T59" s="370">
        <f>IF(MONTH(E8)=12,((K57/I57)^(1/2)-1),((E66/C66)^(1/2)-1))</f>
        <v>0.36299876609398196</v>
      </c>
      <c r="U59" s="354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</row>
    <row r="60" spans="1:31">
      <c r="A60" s="318" t="s">
        <v>235</v>
      </c>
      <c r="B60" s="367"/>
      <c r="C60" s="367"/>
      <c r="D60" s="367"/>
      <c r="E60" s="368">
        <f>1-E59-E58</f>
        <v>0.25205479452054791</v>
      </c>
      <c r="F60" s="133"/>
      <c r="G60" s="472"/>
      <c r="H60" s="473"/>
      <c r="I60" s="473"/>
      <c r="J60" s="473"/>
      <c r="K60" s="473"/>
      <c r="L60" s="473"/>
      <c r="M60" s="473"/>
      <c r="N60" s="474"/>
      <c r="O60" s="133"/>
      <c r="P60" s="144"/>
      <c r="Q60" s="133"/>
      <c r="R60" s="133"/>
      <c r="S60" s="133"/>
      <c r="T60" s="201"/>
      <c r="U60" s="140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</row>
    <row r="61" spans="1:31">
      <c r="A61" s="133"/>
      <c r="B61" s="133"/>
      <c r="C61" s="133"/>
      <c r="D61" s="133"/>
      <c r="E61" s="201"/>
      <c r="F61" s="133"/>
      <c r="G61" s="475"/>
      <c r="H61" s="476"/>
      <c r="I61" s="476"/>
      <c r="J61" s="476"/>
      <c r="K61" s="476"/>
      <c r="L61" s="476"/>
      <c r="M61" s="476"/>
      <c r="N61" s="477"/>
      <c r="O61" s="133"/>
      <c r="P61" s="366" t="s">
        <v>236</v>
      </c>
      <c r="Q61" s="133"/>
      <c r="R61" s="369"/>
      <c r="S61" s="369"/>
      <c r="T61" s="370"/>
      <c r="U61" s="140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</row>
    <row r="62" spans="1:31">
      <c r="A62" s="374" t="s">
        <v>237</v>
      </c>
      <c r="B62" s="133"/>
      <c r="C62" s="375">
        <f>EOMONTH(D62,-12)</f>
        <v>44196</v>
      </c>
      <c r="D62" s="375">
        <f>EOMONTH(E62,-12)</f>
        <v>44561</v>
      </c>
      <c r="E62" s="319">
        <f>EOMONTH(D68,-12)</f>
        <v>44926</v>
      </c>
      <c r="F62" s="133"/>
      <c r="G62" s="478"/>
      <c r="H62" s="476"/>
      <c r="I62" s="476"/>
      <c r="J62" s="476"/>
      <c r="K62" s="476"/>
      <c r="L62" s="476"/>
      <c r="M62" s="476"/>
      <c r="N62" s="477"/>
      <c r="O62" s="133"/>
      <c r="P62" s="144" t="s">
        <v>231</v>
      </c>
      <c r="Q62" s="133"/>
      <c r="R62" s="369">
        <f>IF(MONTH(E8)=12,(D69/K8-1),(D69/E63-1))</f>
        <v>0.37163369474109675</v>
      </c>
      <c r="S62" s="369">
        <f>IF(MONTH(E8)=12,(D70/K44-1),(D70/E64-1))</f>
        <v>0.23887211309412315</v>
      </c>
      <c r="T62" s="370">
        <f>IF(MONTH(E8)=12,(D72/K57-1),(D72/E66-1))</f>
        <v>-0.26751196644510122</v>
      </c>
      <c r="U62" s="140"/>
      <c r="V62" s="272"/>
      <c r="W62" s="133"/>
      <c r="X62" s="133"/>
      <c r="Y62" s="133"/>
      <c r="Z62" s="133"/>
      <c r="AA62" s="133"/>
      <c r="AB62" s="133"/>
      <c r="AC62" s="133"/>
      <c r="AD62" s="133"/>
      <c r="AE62" s="133"/>
    </row>
    <row r="63" spans="1:31">
      <c r="A63" s="318" t="s">
        <v>98</v>
      </c>
      <c r="B63" s="133"/>
      <c r="C63" s="296">
        <f>H8*$E$58+I8*$E$59+J8*$E$60</f>
        <v>26060.369863013701</v>
      </c>
      <c r="D63" s="296">
        <f>I8*$E$58+J8*$E$59+K8*$E$60</f>
        <v>36246.350684931502</v>
      </c>
      <c r="E63" s="211">
        <f>J8*$E$58+K8*$E$59+E39*$E$60</f>
        <v>48340.304811767666</v>
      </c>
      <c r="F63" s="133"/>
      <c r="G63" s="475"/>
      <c r="H63" s="476"/>
      <c r="I63" s="476"/>
      <c r="J63" s="476"/>
      <c r="K63" s="476"/>
      <c r="L63" s="476"/>
      <c r="M63" s="476"/>
      <c r="N63" s="477"/>
      <c r="O63" s="133"/>
      <c r="P63" s="144" t="s">
        <v>234</v>
      </c>
      <c r="Q63" s="133"/>
      <c r="R63" s="369">
        <f>IF(MONTH(E8)=12,(($E69/$K8)^(1/2)-1),(($E69/$E63)^(1/2)-1))</f>
        <v>0.37163369474109653</v>
      </c>
      <c r="S63" s="369">
        <f>IF(MONTH(E8)=12,(($E70/$K44)^(1/2)-1),(($E70/$E64)^(1/2)-1))</f>
        <v>0.29132977784245107</v>
      </c>
      <c r="T63" s="370">
        <f>IF(MONTH(E8)=12,(($E72/$K57)^(1/2)-1),(($E72/$E66)^(1/2)-1))</f>
        <v>-0.10414932603146099</v>
      </c>
      <c r="U63" s="376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</row>
    <row r="64" spans="1:31" ht="15.75" thickBot="1">
      <c r="A64" s="318" t="s">
        <v>29</v>
      </c>
      <c r="B64" s="133"/>
      <c r="C64" s="296">
        <f>H44*$E$58+I44*$E$59+J44*$E$60</f>
        <v>9912.076712328766</v>
      </c>
      <c r="D64" s="296">
        <f>I44*$E$58+J44*$E$59+K44*$E$60</f>
        <v>14702.350684931505</v>
      </c>
      <c r="E64" s="211">
        <f>J44*$E$58+K44*$E$59+E40*$E$60</f>
        <v>20626.715497727753</v>
      </c>
      <c r="F64" s="133"/>
      <c r="G64" s="377"/>
      <c r="H64" s="378"/>
      <c r="I64" s="378"/>
      <c r="J64" s="378"/>
      <c r="K64" s="378"/>
      <c r="L64" s="378"/>
      <c r="M64" s="378"/>
      <c r="N64" s="379"/>
      <c r="O64" s="133"/>
      <c r="P64" s="144" t="s">
        <v>238</v>
      </c>
      <c r="Q64" s="133"/>
      <c r="R64" s="157"/>
      <c r="S64" s="157"/>
      <c r="T64" s="380">
        <v>0</v>
      </c>
      <c r="U64" s="376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</row>
    <row r="65" spans="1:31">
      <c r="A65" s="318" t="s">
        <v>30</v>
      </c>
      <c r="B65" s="133"/>
      <c r="C65" s="296">
        <f>H39*$E$58+I39*$E$59+J39*$E$60</f>
        <v>8471.4383561643845</v>
      </c>
      <c r="D65" s="296">
        <f>I39*$E$58+J39*$E$59+K39*$E$60</f>
        <v>13074.980821917808</v>
      </c>
      <c r="E65" s="211">
        <f>J39*$E$58+K39*$E$59+E41*$E$60</f>
        <v>18864.715497727753</v>
      </c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44"/>
      <c r="Q65" s="133"/>
      <c r="R65" s="133"/>
      <c r="S65" s="133"/>
      <c r="T65" s="201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</row>
    <row r="66" spans="1:31">
      <c r="A66" s="318" t="s">
        <v>31</v>
      </c>
      <c r="B66" s="133"/>
      <c r="C66" s="381">
        <f>H57*$E$58+I57*$E$59+J57*$E$60</f>
        <v>6.2788818865720035</v>
      </c>
      <c r="D66" s="381">
        <f>I57*$E$58+J57*$E$59+K57*$E$60</f>
        <v>9.9651674726118475</v>
      </c>
      <c r="E66" s="382">
        <f>J57*$E$58+K57*$E$59+E42*$E$60</f>
        <v>11.664691003722847</v>
      </c>
      <c r="F66" s="133"/>
      <c r="G66" s="137" t="s">
        <v>239</v>
      </c>
      <c r="H66" s="138"/>
      <c r="I66" s="138"/>
      <c r="J66" s="138"/>
      <c r="K66" s="139"/>
      <c r="L66" s="137"/>
      <c r="M66" s="138"/>
      <c r="N66" s="138"/>
      <c r="O66" s="133"/>
      <c r="P66" s="355" t="s">
        <v>240</v>
      </c>
      <c r="Q66" s="134"/>
      <c r="R66" s="134"/>
      <c r="S66" s="134"/>
      <c r="T66" s="38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</row>
    <row r="67" spans="1:31">
      <c r="A67" s="144"/>
      <c r="B67" s="133"/>
      <c r="C67" s="133"/>
      <c r="D67" s="133"/>
      <c r="E67" s="201"/>
      <c r="F67" s="133"/>
      <c r="G67" s="144"/>
      <c r="H67" s="133"/>
      <c r="I67" s="147"/>
      <c r="J67" s="147"/>
      <c r="K67" s="133"/>
      <c r="L67" s="32" t="s">
        <v>88</v>
      </c>
      <c r="M67" s="32" t="s">
        <v>89</v>
      </c>
      <c r="N67" s="201"/>
      <c r="O67" s="133"/>
      <c r="P67" s="144" t="s">
        <v>241</v>
      </c>
      <c r="Q67" s="133"/>
      <c r="R67" s="133"/>
      <c r="S67" s="133"/>
      <c r="T67" s="159">
        <f>IF(ISERROR((N39*(1-E10))/(AVERAGE(D26+D32,E26+E32))),0,(N39*(1-E10))/(AVERAGE(D26+D32,E26+E32)))</f>
        <v>0.29448359550561803</v>
      </c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</row>
    <row r="68" spans="1:31">
      <c r="A68" s="374" t="s">
        <v>242</v>
      </c>
      <c r="B68" s="133"/>
      <c r="C68" s="133"/>
      <c r="D68" s="375">
        <f>DATE(YEAR(S5),12,31)</f>
        <v>45291</v>
      </c>
      <c r="E68" s="319">
        <f>+EOMONTH(D68,12)</f>
        <v>45657</v>
      </c>
      <c r="F68" s="133"/>
      <c r="G68" s="144"/>
      <c r="H68" s="133"/>
      <c r="I68" s="154" t="str">
        <f>"Fiscal Year Ending "&amp;TEXT($E$8,"mmmm d")&amp;","</f>
        <v>Fiscal Year Ending September 25,</v>
      </c>
      <c r="J68" s="154"/>
      <c r="K68" s="154"/>
      <c r="L68" s="32" t="s">
        <v>91</v>
      </c>
      <c r="M68" s="32" t="s">
        <v>91</v>
      </c>
      <c r="N68" s="279" t="s">
        <v>16</v>
      </c>
      <c r="O68" s="133"/>
      <c r="P68" s="186" t="s">
        <v>243</v>
      </c>
      <c r="Q68" s="133"/>
      <c r="R68" s="133"/>
      <c r="S68" s="133"/>
      <c r="T68" s="159">
        <f>IF(ISERROR(N52/AVERAGE(D32,E32)),0,N52/AVERAGE(D32,E32))</f>
        <v>0.54332032158829457</v>
      </c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</row>
    <row r="69" spans="1:31">
      <c r="A69" s="318" t="s">
        <v>98</v>
      </c>
      <c r="B69" s="133"/>
      <c r="C69" s="133"/>
      <c r="D69" s="384">
        <f>K8*$E$58+E39*$E$59+E45*$E$60</f>
        <v>66305.190893875697</v>
      </c>
      <c r="E69" s="385">
        <f>E39*$E$58+E45*$E$59+E51*$E$60</f>
        <v>90946.433966280427</v>
      </c>
      <c r="F69" s="133"/>
      <c r="G69" s="386"/>
      <c r="H69" s="134"/>
      <c r="I69" s="161">
        <f t="shared" ref="I69:N69" si="35">+I27</f>
        <v>44099</v>
      </c>
      <c r="J69" s="161">
        <f t="shared" si="35"/>
        <v>44464</v>
      </c>
      <c r="K69" s="161">
        <f t="shared" si="35"/>
        <v>44829</v>
      </c>
      <c r="L69" s="162">
        <f t="shared" si="35"/>
        <v>44738</v>
      </c>
      <c r="M69" s="163">
        <f t="shared" si="35"/>
        <v>45102</v>
      </c>
      <c r="N69" s="288">
        <f t="shared" si="35"/>
        <v>45102</v>
      </c>
      <c r="O69" s="133"/>
      <c r="P69" s="186" t="s">
        <v>244</v>
      </c>
      <c r="Q69" s="133"/>
      <c r="R69" s="133"/>
      <c r="S69" s="133"/>
      <c r="T69" s="159">
        <f>IF(ISERROR(N52/AVERAGE(D23,E23)),0,N52/AVERAGE(D23,E23))</f>
        <v>0.21442682827293502</v>
      </c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</row>
    <row r="70" spans="1:31">
      <c r="A70" s="318" t="s">
        <v>29</v>
      </c>
      <c r="B70" s="133"/>
      <c r="C70" s="133"/>
      <c r="D70" s="296">
        <f>K44*$E$58+E40*$E$59+E46*$E$60</f>
        <v>25553.862614861282</v>
      </c>
      <c r="E70" s="385">
        <f>E40*$E$58+E46*$E$59+E52*$E$60</f>
        <v>34395.720423194747</v>
      </c>
      <c r="F70" s="133"/>
      <c r="G70" s="144" t="s">
        <v>199</v>
      </c>
      <c r="H70" s="133"/>
      <c r="I70" s="208">
        <v>1393</v>
      </c>
      <c r="J70" s="208">
        <v>1582</v>
      </c>
      <c r="K70" s="208">
        <v>1762</v>
      </c>
      <c r="L70" s="209">
        <v>1272</v>
      </c>
      <c r="M70" s="210">
        <v>1347</v>
      </c>
      <c r="N70" s="387">
        <f>K70+M70-L70</f>
        <v>1837</v>
      </c>
      <c r="O70" s="306"/>
      <c r="P70" s="43" t="s">
        <v>245</v>
      </c>
      <c r="Q70" s="133"/>
      <c r="R70" s="133"/>
      <c r="S70" s="133"/>
      <c r="T70" s="159">
        <f>IF(ISERROR((T9*4)/T5),"NA",(T9*4)/T5)</f>
        <v>8.6614173228346442E-2</v>
      </c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</row>
    <row r="71" spans="1:31">
      <c r="A71" s="318" t="s">
        <v>30</v>
      </c>
      <c r="B71" s="133"/>
      <c r="C71" s="133"/>
      <c r="D71" s="296">
        <f>K39*$E$58+E41*$E$59+E47*$E$60</f>
        <v>23791.862614861282</v>
      </c>
      <c r="E71" s="385">
        <f>E41*$E$58+E47*$E$59+E53*$E$60</f>
        <v>32633.720423194747</v>
      </c>
      <c r="F71" s="133"/>
      <c r="G71" s="156" t="s">
        <v>246</v>
      </c>
      <c r="H71" s="157"/>
      <c r="I71" s="388">
        <f t="shared" ref="I71:N71" si="36">IF(ISERROR(I70/I8),"NA",I70/I8)</f>
        <v>5.9198504100973187E-2</v>
      </c>
      <c r="J71" s="388">
        <f t="shared" si="36"/>
        <v>4.7131025442411961E-2</v>
      </c>
      <c r="K71" s="388">
        <f t="shared" si="36"/>
        <v>3.9864253393665158E-2</v>
      </c>
      <c r="L71" s="389">
        <f t="shared" si="36"/>
        <v>3.8774577046181986E-2</v>
      </c>
      <c r="M71" s="390">
        <f t="shared" si="36"/>
        <v>4.9542094229283899E-2</v>
      </c>
      <c r="N71" s="391">
        <f t="shared" si="36"/>
        <v>4.7610408459465063E-2</v>
      </c>
      <c r="O71" s="133"/>
      <c r="P71" s="144"/>
      <c r="Q71" s="133"/>
      <c r="R71" s="133"/>
      <c r="S71" s="133"/>
      <c r="T71" s="201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</row>
    <row r="72" spans="1:31">
      <c r="A72" s="392" t="s">
        <v>31</v>
      </c>
      <c r="B72" s="181"/>
      <c r="C72" s="181"/>
      <c r="D72" s="393">
        <f>K57*$E$58+E42*$E$59+E48*$E$60</f>
        <v>8.5442465753424663</v>
      </c>
      <c r="E72" s="394">
        <f>E42*$E$58+E48*$E$59+E54*$E$60</f>
        <v>9.3614794520547946</v>
      </c>
      <c r="F72" s="133"/>
      <c r="G72" s="144" t="s">
        <v>180</v>
      </c>
      <c r="H72" s="133"/>
      <c r="I72" s="208">
        <v>1212</v>
      </c>
      <c r="J72" s="208">
        <v>1663</v>
      </c>
      <c r="K72" s="208">
        <v>2031</v>
      </c>
      <c r="L72" s="209">
        <v>1510</v>
      </c>
      <c r="M72" s="210">
        <v>1876</v>
      </c>
      <c r="N72" s="387">
        <f>K72+M72-L72</f>
        <v>2397</v>
      </c>
      <c r="O72" s="133"/>
      <c r="P72" s="355" t="s">
        <v>247</v>
      </c>
      <c r="Q72" s="356"/>
      <c r="R72" s="356"/>
      <c r="S72" s="356"/>
      <c r="T72" s="357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</row>
    <row r="73" spans="1:31">
      <c r="A73" s="133"/>
      <c r="B73" s="133"/>
      <c r="C73" s="133"/>
      <c r="D73" s="133"/>
      <c r="E73" s="133"/>
      <c r="F73" s="133"/>
      <c r="G73" s="144" t="s">
        <v>248</v>
      </c>
      <c r="H73" s="133"/>
      <c r="I73" s="208">
        <v>5814</v>
      </c>
      <c r="J73" s="208">
        <v>10536</v>
      </c>
      <c r="K73" s="208">
        <v>9096</v>
      </c>
      <c r="L73" s="209">
        <v>7650</v>
      </c>
      <c r="M73" s="210">
        <v>7209</v>
      </c>
      <c r="N73" s="387">
        <f>K73+M73-L73</f>
        <v>8655</v>
      </c>
      <c r="O73" s="133"/>
      <c r="P73" s="144" t="s">
        <v>249</v>
      </c>
      <c r="Q73" s="133"/>
      <c r="R73" s="133"/>
      <c r="S73" s="133"/>
      <c r="T73" s="159">
        <f>IF(ISBLANK(S13),(E26/(E26+T11)),(S13/(S13+T11)))</f>
        <v>8.7725907797112479E-2</v>
      </c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</row>
    <row r="74" spans="1:31">
      <c r="A74" s="395" t="s">
        <v>250</v>
      </c>
      <c r="B74" s="396"/>
      <c r="C74" s="396"/>
      <c r="D74" s="396"/>
      <c r="E74" s="397"/>
      <c r="F74" s="133"/>
      <c r="G74" s="144" t="s">
        <v>251</v>
      </c>
      <c r="H74" s="133"/>
      <c r="I74" s="208">
        <v>1407</v>
      </c>
      <c r="J74" s="208">
        <v>1888</v>
      </c>
      <c r="K74" s="208">
        <v>2262</v>
      </c>
      <c r="L74" s="209">
        <v>1628</v>
      </c>
      <c r="M74" s="210">
        <v>1157</v>
      </c>
      <c r="N74" s="387">
        <f>K74+M74-L74</f>
        <v>1791</v>
      </c>
      <c r="O74" s="133"/>
      <c r="P74" s="144" t="s">
        <v>252</v>
      </c>
      <c r="Q74" s="133"/>
      <c r="R74" s="133"/>
      <c r="S74" s="133"/>
      <c r="T74" s="398">
        <f>IF(ISERROR(S13/N44),0,T13/N44)</f>
        <v>1.0176495307466031</v>
      </c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</row>
    <row r="75" spans="1:31">
      <c r="A75" s="399"/>
      <c r="B75" s="322"/>
      <c r="C75" s="322"/>
      <c r="D75" s="322"/>
      <c r="E75" s="400"/>
      <c r="F75" s="133"/>
      <c r="G75" s="156" t="s">
        <v>246</v>
      </c>
      <c r="H75" s="157"/>
      <c r="I75" s="388">
        <f t="shared" ref="I75:N75" si="37">IF(ISERROR(I74/I8),"NA",I74/I8)</f>
        <v>5.9793463941183969E-2</v>
      </c>
      <c r="J75" s="388">
        <f t="shared" si="37"/>
        <v>5.6247393195495439E-2</v>
      </c>
      <c r="K75" s="388">
        <f t="shared" si="37"/>
        <v>5.1176470588235295E-2</v>
      </c>
      <c r="L75" s="389">
        <f t="shared" si="37"/>
        <v>4.9626581313824115E-2</v>
      </c>
      <c r="M75" s="390">
        <f t="shared" si="37"/>
        <v>4.2553974033616535E-2</v>
      </c>
      <c r="N75" s="391">
        <f t="shared" si="37"/>
        <v>4.6418204437072362E-2</v>
      </c>
      <c r="O75" s="133"/>
      <c r="P75" s="180" t="s">
        <v>253</v>
      </c>
      <c r="Q75" s="181"/>
      <c r="R75" s="181"/>
      <c r="S75" s="181"/>
      <c r="T75" s="401">
        <f>IF(ISERROR((S13-E14-E15)/N44),0,(S13-E14-E15)/N44)</f>
        <v>-0.60449642807115844</v>
      </c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</row>
  </sheetData>
  <mergeCells count="3">
    <mergeCell ref="P2:T2"/>
    <mergeCell ref="G60:N61"/>
    <mergeCell ref="G62:N6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 Pakel</dc:creator>
  <cp:keywords/>
  <dc:description/>
  <cp:lastModifiedBy/>
  <cp:revision/>
  <dcterms:created xsi:type="dcterms:W3CDTF">2023-07-30T21:42:06Z</dcterms:created>
  <dcterms:modified xsi:type="dcterms:W3CDTF">2025-05-20T01:03:19Z</dcterms:modified>
  <cp:category/>
  <cp:contentStatus/>
</cp:coreProperties>
</file>