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14"/>
  <workbookPr/>
  <mc:AlternateContent xmlns:mc="http://schemas.openxmlformats.org/markup-compatibility/2006">
    <mc:Choice Requires="x15">
      <x15ac:absPath xmlns:x15ac="http://schemas.microsoft.com/office/spreadsheetml/2010/11/ac" url="https://d.docs.live.net/4cef457bb869b141/BP_OD_Financial Models/"/>
    </mc:Choice>
  </mc:AlternateContent>
  <xr:revisionPtr revIDLastSave="0" documentId="8_{766BD375-F072-453B-8F0C-1DDD371B7792}" xr6:coauthVersionLast="47" xr6:coauthVersionMax="47" xr10:uidLastSave="{00000000-0000-0000-0000-000000000000}"/>
  <bookViews>
    <workbookView xWindow="-120" yWindow="-120" windowWidth="29040" windowHeight="15840" firstSheet="5" activeTab="5" xr2:uid="{00000000-000D-0000-FFFF-FFFF00000000}"/>
  </bookViews>
  <sheets>
    <sheet name="Precedent Transaction Output" sheetId="2" r:id="rId1"/>
    <sheet name="Precedent Football Field" sheetId="3" r:id="rId2"/>
    <sheet name="Xilinx" sheetId="4" r:id="rId3"/>
    <sheet name="Tower Semiconductor" sheetId="5" r:id="rId4"/>
    <sheet name="Maxim Integrated" sheetId="8" r:id="rId5"/>
    <sheet name="Cypress" sheetId="7" r:id="rId6"/>
  </sheet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5" i="3" l="1"/>
  <c r="J7" i="3" l="1"/>
  <c r="I7" i="3"/>
  <c r="G7" i="3"/>
  <c r="F7" i="3"/>
  <c r="H7" i="3"/>
  <c r="E7" i="3"/>
  <c r="D7" i="3"/>
  <c r="C7" i="3"/>
  <c r="B7" i="3"/>
  <c r="AE17" i="2"/>
  <c r="AD17" i="2"/>
  <c r="J27" i="3"/>
  <c r="G27" i="3"/>
  <c r="D27" i="3"/>
  <c r="J20" i="3"/>
  <c r="H20" i="3"/>
  <c r="G20" i="3"/>
  <c r="E20" i="3"/>
  <c r="D20" i="3"/>
  <c r="B20" i="3"/>
  <c r="B27" i="3" s="1"/>
  <c r="H18" i="3"/>
  <c r="H25" i="3" s="1"/>
  <c r="F18" i="3"/>
  <c r="G18" i="3" s="1"/>
  <c r="E18" i="3"/>
  <c r="E25" i="3" s="1"/>
  <c r="B18" i="3"/>
  <c r="B25" i="3" s="1"/>
  <c r="J13" i="3"/>
  <c r="I13" i="3"/>
  <c r="I20" i="3" s="1"/>
  <c r="I27" i="3" s="1"/>
  <c r="G13" i="3"/>
  <c r="F13" i="3"/>
  <c r="F20" i="3" s="1"/>
  <c r="F27" i="3" s="1"/>
  <c r="D13" i="3"/>
  <c r="C13" i="3"/>
  <c r="C20" i="3" s="1"/>
  <c r="C27" i="3" s="1"/>
  <c r="I11" i="3"/>
  <c r="I18" i="3" s="1"/>
  <c r="F11" i="3"/>
  <c r="G11" i="3" s="1"/>
  <c r="C11" i="3"/>
  <c r="D11" i="3" s="1"/>
  <c r="Z17" i="2"/>
  <c r="U17" i="2"/>
  <c r="Q17" i="2"/>
  <c r="R17" i="2"/>
  <c r="T17" i="2"/>
  <c r="I25" i="3" l="1"/>
  <c r="J25" i="3" s="1"/>
  <c r="J18" i="3"/>
  <c r="C18" i="3"/>
  <c r="F25" i="3"/>
  <c r="G25" i="3" s="1"/>
  <c r="J11" i="3"/>
  <c r="C25" i="3" l="1"/>
  <c r="D25" i="3" s="1"/>
  <c r="D18" i="3"/>
  <c r="AC10" i="2"/>
  <c r="Y10" i="2"/>
  <c r="U10" i="2"/>
  <c r="Q10" i="2"/>
  <c r="M10" i="2"/>
  <c r="I10" i="2"/>
  <c r="E10" i="2"/>
  <c r="AC7" i="2"/>
  <c r="Y7" i="2"/>
  <c r="U7" i="2"/>
  <c r="Q7" i="2"/>
  <c r="M7" i="2"/>
  <c r="I7" i="2"/>
  <c r="AE7" i="2"/>
  <c r="AB8" i="2"/>
  <c r="X8" i="2"/>
  <c r="T8" i="2"/>
  <c r="P8" i="2"/>
  <c r="L8" i="2"/>
  <c r="H8" i="2"/>
  <c r="D8" i="2"/>
  <c r="AB10" i="2"/>
  <c r="X9" i="2"/>
  <c r="T9" i="2"/>
  <c r="P9" i="2"/>
  <c r="L9" i="2"/>
  <c r="H9" i="2"/>
  <c r="D9" i="2"/>
  <c r="C7" i="2" a="1"/>
  <c r="G9" i="2"/>
  <c r="AE9" i="2"/>
  <c r="AA10" i="2"/>
  <c r="O10" i="2"/>
  <c r="G10" i="2"/>
  <c r="AA7" i="2"/>
  <c r="S7" i="2"/>
  <c r="F7" i="2"/>
  <c r="Z8" i="2"/>
  <c r="R8" i="2"/>
  <c r="J8" i="2"/>
  <c r="AD9" i="2"/>
  <c r="V9" i="2"/>
  <c r="N9" i="2"/>
  <c r="F9" i="2"/>
  <c r="AD10" i="2"/>
  <c r="V10" i="2"/>
  <c r="N10" i="2"/>
  <c r="F10" i="2"/>
  <c r="Z7" i="2"/>
  <c r="R7" i="2"/>
  <c r="J7" i="2"/>
  <c r="AC8" i="2"/>
  <c r="U8" i="2"/>
  <c r="M8" i="2"/>
  <c r="E8" i="2"/>
  <c r="Y9" i="2"/>
  <c r="Q9" i="2"/>
  <c r="I9" i="2"/>
  <c r="E7" i="2"/>
  <c r="AB9" i="2"/>
  <c r="X10" i="2"/>
  <c r="T10" i="2"/>
  <c r="P10" i="2"/>
  <c r="L10" i="2"/>
  <c r="H10" i="2"/>
  <c r="D10" i="2"/>
  <c r="AB7" i="2"/>
  <c r="X7" i="2"/>
  <c r="T7" i="2"/>
  <c r="P7" i="2"/>
  <c r="L7" i="2"/>
  <c r="H7" i="2"/>
  <c r="AE8" i="2"/>
  <c r="AA8" i="2"/>
  <c r="W8" i="2"/>
  <c r="S8" i="2"/>
  <c r="O8" i="2"/>
  <c r="K8" i="2"/>
  <c r="G8" i="2"/>
  <c r="C8" i="2" a="1"/>
  <c r="AA9" i="2"/>
  <c r="W10" i="2"/>
  <c r="S9" i="2"/>
  <c r="O9" i="2"/>
  <c r="K9" i="2"/>
  <c r="C10" i="2" a="1"/>
  <c r="AE10" i="2"/>
  <c r="W9" i="2"/>
  <c r="S10" i="2"/>
  <c r="K10" i="2"/>
  <c r="C9" i="2" a="1"/>
  <c r="W7" i="2"/>
  <c r="O7" i="2"/>
  <c r="K7" i="2"/>
  <c r="AD8" i="2"/>
  <c r="V8" i="2"/>
  <c r="N8" i="2"/>
  <c r="F8" i="2"/>
  <c r="Z9" i="2"/>
  <c r="R9" i="2"/>
  <c r="J9" i="2"/>
  <c r="G7" i="2"/>
  <c r="Z10" i="2"/>
  <c r="R10" i="2"/>
  <c r="J10" i="2"/>
  <c r="AD7" i="2"/>
  <c r="V7" i="2"/>
  <c r="N7" i="2"/>
  <c r="D7" i="2"/>
  <c r="Y8" i="2"/>
  <c r="Q8" i="2"/>
  <c r="I8" i="2"/>
  <c r="AC9" i="2"/>
  <c r="U9" i="2"/>
  <c r="M9" i="2"/>
  <c r="E9" i="2"/>
  <c r="C9" i="2" l="1"/>
  <c r="C10" i="2"/>
  <c r="C8" i="2"/>
  <c r="C7" i="2"/>
  <c r="R59" i="7" l="1"/>
  <c r="R61" i="8"/>
  <c r="R60" i="8"/>
  <c r="R59" i="8"/>
  <c r="R60" i="4"/>
  <c r="R59" i="4"/>
  <c r="R60" i="7"/>
  <c r="E53" i="5"/>
  <c r="E52" i="5"/>
  <c r="E47" i="5"/>
  <c r="E46" i="5"/>
  <c r="E41" i="5"/>
  <c r="E40" i="5"/>
  <c r="E51" i="5"/>
  <c r="E45" i="5"/>
  <c r="E39" i="5"/>
  <c r="AA11" i="5"/>
  <c r="AB11" i="5"/>
  <c r="Z11" i="5"/>
  <c r="AB19" i="5"/>
  <c r="AB18" i="5"/>
  <c r="AA8" i="5"/>
  <c r="AB8" i="5"/>
  <c r="Z8" i="5"/>
  <c r="AA7" i="5"/>
  <c r="AB17" i="5"/>
  <c r="Y11" i="5"/>
  <c r="Y8" i="5"/>
  <c r="Y9" i="5" s="1"/>
  <c r="Y13" i="5" s="1"/>
  <c r="Y12" i="5" s="1"/>
  <c r="Y7" i="5"/>
  <c r="Z19" i="5"/>
  <c r="Y19" i="5"/>
  <c r="Z18" i="5"/>
  <c r="Y18" i="5"/>
  <c r="Z17" i="5"/>
  <c r="Y17" i="5"/>
  <c r="Z16" i="5"/>
  <c r="AB16" i="5" s="1"/>
  <c r="E54" i="8"/>
  <c r="E48" i="8"/>
  <c r="E42" i="8"/>
  <c r="Z7" i="5" l="1"/>
  <c r="Z9" i="5" l="1"/>
  <c r="Z13" i="5" l="1"/>
  <c r="Z12" i="5" s="1"/>
  <c r="AA9" i="5"/>
  <c r="AB7" i="5"/>
  <c r="AA13" i="5" l="1"/>
  <c r="AA12" i="5" s="1"/>
  <c r="AB9" i="5"/>
  <c r="AB13" i="5" l="1"/>
  <c r="AB12" i="5" s="1"/>
  <c r="E53" i="7" l="1"/>
  <c r="E47" i="7"/>
  <c r="E41" i="7"/>
  <c r="E53" i="4"/>
  <c r="E47" i="4"/>
  <c r="E41" i="4"/>
  <c r="R52" i="7"/>
  <c r="J70" i="4"/>
  <c r="K70" i="4"/>
  <c r="L70" i="4"/>
  <c r="M70" i="4"/>
  <c r="L70" i="5"/>
  <c r="M70" i="5"/>
  <c r="L7" i="7"/>
  <c r="L7" i="8"/>
  <c r="L7" i="4"/>
  <c r="M11" i="4"/>
  <c r="T16" i="7"/>
  <c r="T16" i="5"/>
  <c r="T16" i="4"/>
  <c r="T6" i="4"/>
  <c r="T9" i="4" s="1"/>
  <c r="N71" i="8" l="1"/>
  <c r="N36" i="8" s="1"/>
  <c r="N70" i="8"/>
  <c r="N42" i="8" s="1"/>
  <c r="M69" i="8"/>
  <c r="J68" i="8"/>
  <c r="C64" i="8"/>
  <c r="C63" i="8"/>
  <c r="C60" i="8"/>
  <c r="N56" i="8"/>
  <c r="N55" i="8"/>
  <c r="N50" i="8"/>
  <c r="M48" i="8"/>
  <c r="L48" i="8"/>
  <c r="K48" i="8"/>
  <c r="J48" i="8"/>
  <c r="R47" i="8"/>
  <c r="T43" i="8"/>
  <c r="S43" i="8"/>
  <c r="N43" i="8"/>
  <c r="T42" i="8"/>
  <c r="T44" i="8" s="1"/>
  <c r="T25" i="8" s="1"/>
  <c r="S42" i="8"/>
  <c r="M42" i="8"/>
  <c r="L42" i="8"/>
  <c r="K42" i="8"/>
  <c r="J42" i="8"/>
  <c r="T41" i="8"/>
  <c r="S41" i="8"/>
  <c r="N38" i="8"/>
  <c r="E38" i="8"/>
  <c r="S48" i="8" s="1"/>
  <c r="T48" i="8" s="1"/>
  <c r="Q37" i="8"/>
  <c r="N37" i="8"/>
  <c r="S36" i="8"/>
  <c r="T36" i="8" s="1"/>
  <c r="M36" i="8"/>
  <c r="M49" i="8" s="1"/>
  <c r="L36" i="8"/>
  <c r="L49" i="8" s="1"/>
  <c r="K36" i="8"/>
  <c r="K49" i="8" s="1"/>
  <c r="K51" i="8" s="1"/>
  <c r="J36" i="8"/>
  <c r="J49" i="8" s="1"/>
  <c r="T35" i="8"/>
  <c r="S35" i="8"/>
  <c r="N35" i="8"/>
  <c r="S34" i="8"/>
  <c r="T34" i="8" s="1"/>
  <c r="N34" i="8"/>
  <c r="T33" i="8"/>
  <c r="S33" i="8"/>
  <c r="S32" i="8"/>
  <c r="T32" i="8" s="1"/>
  <c r="N29" i="8"/>
  <c r="N48" i="8" s="1"/>
  <c r="L28" i="8"/>
  <c r="L30" i="8" s="1"/>
  <c r="L31" i="8" s="1"/>
  <c r="M27" i="8"/>
  <c r="J26" i="8"/>
  <c r="N21" i="8"/>
  <c r="N18" i="8"/>
  <c r="N17" i="8"/>
  <c r="N16" i="8"/>
  <c r="N14" i="8"/>
  <c r="N13" i="8"/>
  <c r="N11" i="8"/>
  <c r="M10" i="8"/>
  <c r="M12" i="8" s="1"/>
  <c r="L10" i="8"/>
  <c r="L12" i="8" s="1"/>
  <c r="K10" i="8"/>
  <c r="K28" i="8" s="1"/>
  <c r="K30" i="8" s="1"/>
  <c r="K31" i="8" s="1"/>
  <c r="J10" i="8"/>
  <c r="J12" i="8" s="1"/>
  <c r="N9" i="8"/>
  <c r="N8" i="8"/>
  <c r="N7" i="8"/>
  <c r="R48" i="8" s="1"/>
  <c r="L27" i="8"/>
  <c r="L69" i="8" s="1"/>
  <c r="K7" i="8"/>
  <c r="K27" i="8" s="1"/>
  <c r="K69" i="8" s="1"/>
  <c r="J7" i="8"/>
  <c r="J27" i="8" s="1"/>
  <c r="J69" i="8" s="1"/>
  <c r="T6" i="8"/>
  <c r="T9" i="8" s="1"/>
  <c r="J6" i="8"/>
  <c r="A2" i="8"/>
  <c r="A1" i="8"/>
  <c r="N71" i="7"/>
  <c r="N70" i="7"/>
  <c r="N42" i="7" s="1"/>
  <c r="J68" i="7"/>
  <c r="C64" i="7"/>
  <c r="C63" i="7"/>
  <c r="C60" i="7"/>
  <c r="N56" i="7"/>
  <c r="N55" i="7"/>
  <c r="N50" i="7"/>
  <c r="M48" i="7"/>
  <c r="L48" i="7"/>
  <c r="K48" i="7"/>
  <c r="J48" i="7"/>
  <c r="R47" i="7"/>
  <c r="T43" i="7"/>
  <c r="S43" i="7"/>
  <c r="N43" i="7"/>
  <c r="T42" i="7"/>
  <c r="T44" i="7" s="1"/>
  <c r="T25" i="7" s="1"/>
  <c r="S42" i="7"/>
  <c r="M42" i="7"/>
  <c r="L42" i="7"/>
  <c r="K42" i="7"/>
  <c r="J42" i="7"/>
  <c r="T41" i="7"/>
  <c r="S41" i="7"/>
  <c r="N38" i="7"/>
  <c r="E38" i="7"/>
  <c r="S48" i="7" s="1"/>
  <c r="T48" i="7" s="1"/>
  <c r="Q37" i="7"/>
  <c r="N37" i="7"/>
  <c r="S36" i="7"/>
  <c r="T36" i="7" s="1"/>
  <c r="N36" i="7"/>
  <c r="M36" i="7"/>
  <c r="M49" i="7" s="1"/>
  <c r="M51" i="7" s="1"/>
  <c r="L36" i="7"/>
  <c r="L49" i="7" s="1"/>
  <c r="K36" i="7"/>
  <c r="K49" i="7" s="1"/>
  <c r="K51" i="7" s="1"/>
  <c r="J36" i="7"/>
  <c r="J49" i="7" s="1"/>
  <c r="S35" i="7"/>
  <c r="T35" i="7" s="1"/>
  <c r="N35" i="7"/>
  <c r="S34" i="7"/>
  <c r="T34" i="7" s="1"/>
  <c r="N34" i="7"/>
  <c r="N49" i="7" s="1"/>
  <c r="S33" i="7"/>
  <c r="T33" i="7" s="1"/>
  <c r="S32" i="7"/>
  <c r="T32" i="7" s="1"/>
  <c r="N29" i="7"/>
  <c r="N48" i="7" s="1"/>
  <c r="L28" i="7"/>
  <c r="L30" i="7" s="1"/>
  <c r="L31" i="7" s="1"/>
  <c r="M27" i="7"/>
  <c r="M69" i="7" s="1"/>
  <c r="J26" i="7"/>
  <c r="N21" i="7"/>
  <c r="N18" i="7"/>
  <c r="N17" i="7"/>
  <c r="N16" i="7"/>
  <c r="N14" i="7"/>
  <c r="N13" i="7"/>
  <c r="N11" i="7"/>
  <c r="M10" i="7"/>
  <c r="M12" i="7" s="1"/>
  <c r="L10" i="7"/>
  <c r="L12" i="7" s="1"/>
  <c r="K10" i="7"/>
  <c r="K28" i="7" s="1"/>
  <c r="K30" i="7" s="1"/>
  <c r="K31" i="7" s="1"/>
  <c r="J10" i="7"/>
  <c r="J12" i="7" s="1"/>
  <c r="N9" i="7"/>
  <c r="N8" i="7"/>
  <c r="N7" i="7"/>
  <c r="R48" i="7" s="1"/>
  <c r="L27" i="7"/>
  <c r="L69" i="7" s="1"/>
  <c r="K7" i="7"/>
  <c r="K27" i="7" s="1"/>
  <c r="K69" i="7" s="1"/>
  <c r="J7" i="7"/>
  <c r="J27" i="7" s="1"/>
  <c r="J69" i="7" s="1"/>
  <c r="T6" i="7"/>
  <c r="T9" i="7" s="1"/>
  <c r="J6" i="7"/>
  <c r="A2" i="7"/>
  <c r="A1" i="7"/>
  <c r="N71" i="5"/>
  <c r="N36" i="5" s="1"/>
  <c r="N70" i="5"/>
  <c r="N42" i="5" s="1"/>
  <c r="J68" i="5"/>
  <c r="C64" i="5"/>
  <c r="C63" i="5"/>
  <c r="C60" i="5"/>
  <c r="N56" i="5"/>
  <c r="N55" i="5"/>
  <c r="N50" i="5"/>
  <c r="M48" i="5"/>
  <c r="L48" i="5"/>
  <c r="K48" i="5"/>
  <c r="J48" i="5"/>
  <c r="R47" i="5"/>
  <c r="T43" i="5"/>
  <c r="S43" i="5"/>
  <c r="N43" i="5"/>
  <c r="T42" i="5"/>
  <c r="S42" i="5"/>
  <c r="M42" i="5"/>
  <c r="L42" i="5"/>
  <c r="K42" i="5"/>
  <c r="J42" i="5"/>
  <c r="T41" i="5"/>
  <c r="T44" i="5" s="1"/>
  <c r="T25" i="5" s="1"/>
  <c r="S41" i="5"/>
  <c r="N38" i="5"/>
  <c r="E38" i="5"/>
  <c r="S48" i="5" s="1"/>
  <c r="T48" i="5" s="1"/>
  <c r="Q37" i="5"/>
  <c r="N37" i="5"/>
  <c r="T36" i="5"/>
  <c r="S36" i="5"/>
  <c r="M36" i="5"/>
  <c r="M49" i="5" s="1"/>
  <c r="L36" i="5"/>
  <c r="L49" i="5" s="1"/>
  <c r="K36" i="5"/>
  <c r="K49" i="5" s="1"/>
  <c r="K51" i="5" s="1"/>
  <c r="J36" i="5"/>
  <c r="J49" i="5" s="1"/>
  <c r="S35" i="5"/>
  <c r="T35" i="5" s="1"/>
  <c r="N35" i="5"/>
  <c r="S34" i="5"/>
  <c r="T34" i="5" s="1"/>
  <c r="N34" i="5"/>
  <c r="S33" i="5"/>
  <c r="T33" i="5" s="1"/>
  <c r="S32" i="5"/>
  <c r="S37" i="5" s="1"/>
  <c r="T22" i="5" s="1"/>
  <c r="N29" i="5"/>
  <c r="N48" i="5" s="1"/>
  <c r="M28" i="5"/>
  <c r="M30" i="5" s="1"/>
  <c r="M31" i="5" s="1"/>
  <c r="M27" i="5"/>
  <c r="M69" i="5" s="1"/>
  <c r="J26" i="5"/>
  <c r="N21" i="5"/>
  <c r="N18" i="5"/>
  <c r="N17" i="5"/>
  <c r="N16" i="5"/>
  <c r="N14" i="5"/>
  <c r="N13" i="5"/>
  <c r="N11" i="5"/>
  <c r="M10" i="5"/>
  <c r="M12" i="5" s="1"/>
  <c r="L10" i="5"/>
  <c r="L12" i="5" s="1"/>
  <c r="K10" i="5"/>
  <c r="K28" i="5" s="1"/>
  <c r="K30" i="5" s="1"/>
  <c r="K31" i="5" s="1"/>
  <c r="J10" i="5"/>
  <c r="J12" i="5" s="1"/>
  <c r="N9" i="5"/>
  <c r="N8" i="5"/>
  <c r="N7" i="5"/>
  <c r="R48" i="5" s="1"/>
  <c r="L7" i="5"/>
  <c r="L27" i="5" s="1"/>
  <c r="L69" i="5" s="1"/>
  <c r="K7" i="5"/>
  <c r="K27" i="5" s="1"/>
  <c r="K69" i="5" s="1"/>
  <c r="J7" i="5"/>
  <c r="J27" i="5" s="1"/>
  <c r="J69" i="5" s="1"/>
  <c r="T6" i="5"/>
  <c r="T9" i="5" s="1"/>
  <c r="J6" i="5"/>
  <c r="A2" i="5"/>
  <c r="A1" i="5"/>
  <c r="N71" i="4"/>
  <c r="N36" i="4" s="1"/>
  <c r="N70" i="4"/>
  <c r="N42" i="4" s="1"/>
  <c r="J68" i="4"/>
  <c r="C64" i="4"/>
  <c r="C63" i="4"/>
  <c r="C60" i="4"/>
  <c r="N56" i="4"/>
  <c r="N55" i="4"/>
  <c r="N50" i="4"/>
  <c r="M48" i="4"/>
  <c r="L48" i="4"/>
  <c r="K48" i="4"/>
  <c r="J48" i="4"/>
  <c r="R47" i="4"/>
  <c r="T43" i="4"/>
  <c r="S43" i="4"/>
  <c r="N43" i="4"/>
  <c r="T42" i="4"/>
  <c r="S42" i="4"/>
  <c r="M42" i="4"/>
  <c r="L42" i="4"/>
  <c r="K42" i="4"/>
  <c r="J42" i="4"/>
  <c r="T41" i="4"/>
  <c r="S41" i="4"/>
  <c r="N38" i="4"/>
  <c r="E38" i="4"/>
  <c r="S48" i="4" s="1"/>
  <c r="T48" i="4" s="1"/>
  <c r="Q37" i="4"/>
  <c r="N37" i="4"/>
  <c r="S36" i="4"/>
  <c r="T36" i="4" s="1"/>
  <c r="M36" i="4"/>
  <c r="M49" i="4" s="1"/>
  <c r="L36" i="4"/>
  <c r="L49" i="4" s="1"/>
  <c r="K36" i="4"/>
  <c r="K49" i="4" s="1"/>
  <c r="K51" i="4" s="1"/>
  <c r="J36" i="4"/>
  <c r="J49" i="4" s="1"/>
  <c r="S35" i="4"/>
  <c r="T35" i="4" s="1"/>
  <c r="N35" i="4"/>
  <c r="S34" i="4"/>
  <c r="T34" i="4" s="1"/>
  <c r="N34" i="4"/>
  <c r="S33" i="4"/>
  <c r="T33" i="4" s="1"/>
  <c r="S32" i="4"/>
  <c r="N29" i="4"/>
  <c r="N48" i="4" s="1"/>
  <c r="M27" i="4"/>
  <c r="M69" i="4" s="1"/>
  <c r="J26" i="4"/>
  <c r="N21" i="4"/>
  <c r="N18" i="4"/>
  <c r="N17" i="4"/>
  <c r="N16" i="4"/>
  <c r="N14" i="4"/>
  <c r="N13" i="4"/>
  <c r="N11" i="4"/>
  <c r="M10" i="4"/>
  <c r="M12" i="4" s="1"/>
  <c r="L10" i="4"/>
  <c r="L12" i="4" s="1"/>
  <c r="K10" i="4"/>
  <c r="K28" i="4" s="1"/>
  <c r="K30" i="4" s="1"/>
  <c r="K31" i="4" s="1"/>
  <c r="J10" i="4"/>
  <c r="J12" i="4" s="1"/>
  <c r="N9" i="4"/>
  <c r="N8" i="4"/>
  <c r="N7" i="4"/>
  <c r="R48" i="4" s="1"/>
  <c r="L27" i="4"/>
  <c r="L69" i="4" s="1"/>
  <c r="K7" i="4"/>
  <c r="K27" i="4" s="1"/>
  <c r="K69" i="4" s="1"/>
  <c r="J7" i="4"/>
  <c r="J27" i="4" s="1"/>
  <c r="J69" i="4" s="1"/>
  <c r="J6" i="4"/>
  <c r="A2" i="4"/>
  <c r="A1" i="4"/>
  <c r="B10" i="2"/>
  <c r="B7" i="2"/>
  <c r="B8" i="2"/>
  <c r="B9" i="2"/>
  <c r="L51" i="7" l="1"/>
  <c r="N51" i="7"/>
  <c r="N49" i="5"/>
  <c r="L51" i="4"/>
  <c r="N49" i="4"/>
  <c r="N51" i="4" s="1"/>
  <c r="L51" i="5"/>
  <c r="N51" i="5"/>
  <c r="M51" i="8"/>
  <c r="N49" i="8"/>
  <c r="N51" i="8" s="1"/>
  <c r="L51" i="8"/>
  <c r="N10" i="7"/>
  <c r="N27" i="7"/>
  <c r="N69" i="7" s="1"/>
  <c r="N10" i="8"/>
  <c r="N12" i="8" s="1"/>
  <c r="N27" i="8"/>
  <c r="N69" i="8" s="1"/>
  <c r="N10" i="5"/>
  <c r="N12" i="5" s="1"/>
  <c r="L28" i="5"/>
  <c r="L30" i="5" s="1"/>
  <c r="L31" i="5" s="1"/>
  <c r="N27" i="5"/>
  <c r="N69" i="5" s="1"/>
  <c r="L28" i="4"/>
  <c r="L30" i="4" s="1"/>
  <c r="L31" i="4" s="1"/>
  <c r="N10" i="4"/>
  <c r="N12" i="4" s="1"/>
  <c r="N27" i="4"/>
  <c r="N69" i="4" s="1"/>
  <c r="T37" i="7"/>
  <c r="T23" i="7" s="1"/>
  <c r="S37" i="4"/>
  <c r="T22" i="4" s="1"/>
  <c r="T44" i="4"/>
  <c r="T25" i="4" s="1"/>
  <c r="T32" i="5"/>
  <c r="T37" i="5" s="1"/>
  <c r="T23" i="5" s="1"/>
  <c r="T24" i="5" s="1"/>
  <c r="T27" i="5" s="1"/>
  <c r="T10" i="5" s="1"/>
  <c r="T11" i="5" s="1"/>
  <c r="T17" i="5" s="1"/>
  <c r="T32" i="4"/>
  <c r="T37" i="4" s="1"/>
  <c r="T23" i="4" s="1"/>
  <c r="T24" i="4" s="1"/>
  <c r="T27" i="4" s="1"/>
  <c r="T10" i="4" s="1"/>
  <c r="T11" i="4" s="1"/>
  <c r="T17" i="4" s="1"/>
  <c r="T56" i="8"/>
  <c r="T52" i="8"/>
  <c r="T61" i="8"/>
  <c r="S52" i="8"/>
  <c r="T60" i="8"/>
  <c r="T59" i="8"/>
  <c r="L15" i="8"/>
  <c r="L33" i="8"/>
  <c r="L39" i="8" s="1"/>
  <c r="M33" i="8"/>
  <c r="M39" i="8" s="1"/>
  <c r="M15" i="8"/>
  <c r="J51" i="8"/>
  <c r="J15" i="8"/>
  <c r="J33" i="8"/>
  <c r="J39" i="8" s="1"/>
  <c r="T37" i="8"/>
  <c r="K12" i="8"/>
  <c r="M28" i="8"/>
  <c r="M30" i="8" s="1"/>
  <c r="M31" i="8" s="1"/>
  <c r="J28" i="8"/>
  <c r="J30" i="8" s="1"/>
  <c r="J31" i="8" s="1"/>
  <c r="S37" i="8"/>
  <c r="T22" i="8" s="1"/>
  <c r="T24" i="8" s="1"/>
  <c r="T27" i="8" s="1"/>
  <c r="T10" i="8" s="1"/>
  <c r="T11" i="8" s="1"/>
  <c r="T17" i="8" s="1"/>
  <c r="E44" i="8"/>
  <c r="E50" i="8" s="1"/>
  <c r="M33" i="7"/>
  <c r="M39" i="7" s="1"/>
  <c r="M15" i="7"/>
  <c r="J51" i="7"/>
  <c r="N12" i="7"/>
  <c r="N28" i="7"/>
  <c r="N30" i="7" s="1"/>
  <c r="N31" i="7" s="1"/>
  <c r="L33" i="7"/>
  <c r="L39" i="7" s="1"/>
  <c r="L15" i="7"/>
  <c r="J15" i="7"/>
  <c r="J33" i="7"/>
  <c r="J39" i="7" s="1"/>
  <c r="T56" i="7"/>
  <c r="T52" i="7"/>
  <c r="T61" i="7"/>
  <c r="S52" i="7"/>
  <c r="T60" i="7"/>
  <c r="T59" i="7"/>
  <c r="M28" i="7"/>
  <c r="M30" i="7" s="1"/>
  <c r="M31" i="7" s="1"/>
  <c r="K12" i="7"/>
  <c r="J28" i="7"/>
  <c r="J30" i="7" s="1"/>
  <c r="J31" i="7" s="1"/>
  <c r="S37" i="7"/>
  <c r="T22" i="7" s="1"/>
  <c r="T24" i="7" s="1"/>
  <c r="T27" i="7" s="1"/>
  <c r="T10" i="7" s="1"/>
  <c r="T11" i="7" s="1"/>
  <c r="T17" i="7" s="1"/>
  <c r="E44" i="7"/>
  <c r="E50" i="7" s="1"/>
  <c r="J15" i="5"/>
  <c r="J33" i="5"/>
  <c r="J39" i="5" s="1"/>
  <c r="M51" i="5"/>
  <c r="T61" i="5"/>
  <c r="T60" i="5"/>
  <c r="T59" i="5"/>
  <c r="T56" i="5"/>
  <c r="T52" i="5"/>
  <c r="S52" i="5"/>
  <c r="J51" i="5"/>
  <c r="L15" i="5"/>
  <c r="L33" i="5"/>
  <c r="L39" i="5" s="1"/>
  <c r="M33" i="5"/>
  <c r="M39" i="5" s="1"/>
  <c r="M15" i="5"/>
  <c r="E44" i="5"/>
  <c r="E50" i="5" s="1"/>
  <c r="J28" i="5"/>
  <c r="J30" i="5" s="1"/>
  <c r="J31" i="5" s="1"/>
  <c r="K12" i="5"/>
  <c r="M33" i="4"/>
  <c r="M39" i="4" s="1"/>
  <c r="M15" i="4"/>
  <c r="M51" i="4"/>
  <c r="J51" i="4"/>
  <c r="J15" i="4"/>
  <c r="J33" i="4"/>
  <c r="J39" i="4" s="1"/>
  <c r="T56" i="4"/>
  <c r="T52" i="4"/>
  <c r="T60" i="4"/>
  <c r="T59" i="4"/>
  <c r="T61" i="4"/>
  <c r="S52" i="4"/>
  <c r="L33" i="4"/>
  <c r="L39" i="4" s="1"/>
  <c r="L15" i="4"/>
  <c r="K12" i="4"/>
  <c r="M28" i="4"/>
  <c r="M30" i="4" s="1"/>
  <c r="M31" i="4" s="1"/>
  <c r="E44" i="4"/>
  <c r="E50" i="4" s="1"/>
  <c r="J28" i="4"/>
  <c r="J30" i="4" s="1"/>
  <c r="J31" i="4" s="1"/>
  <c r="N28" i="8" l="1"/>
  <c r="N30" i="8" s="1"/>
  <c r="N31" i="8" s="1"/>
  <c r="N28" i="5"/>
  <c r="N30" i="5" s="1"/>
  <c r="N31" i="5" s="1"/>
  <c r="N28" i="4"/>
  <c r="N30" i="4" s="1"/>
  <c r="N31" i="4" s="1"/>
  <c r="J40" i="8"/>
  <c r="J44" i="8"/>
  <c r="J45" i="8" s="1"/>
  <c r="M40" i="8"/>
  <c r="M44" i="8"/>
  <c r="M45" i="8" s="1"/>
  <c r="N33" i="8"/>
  <c r="N39" i="8" s="1"/>
  <c r="R51" i="8" s="1"/>
  <c r="N15" i="8"/>
  <c r="K15" i="8"/>
  <c r="K33" i="8"/>
  <c r="K39" i="8" s="1"/>
  <c r="L20" i="8"/>
  <c r="L19" i="8"/>
  <c r="J19" i="8"/>
  <c r="J20" i="8"/>
  <c r="L44" i="8"/>
  <c r="L45" i="8" s="1"/>
  <c r="L40" i="8"/>
  <c r="R49" i="8"/>
  <c r="S49" i="8"/>
  <c r="T51" i="8"/>
  <c r="T50" i="8"/>
  <c r="S51" i="8"/>
  <c r="S50" i="8"/>
  <c r="T49" i="8"/>
  <c r="M20" i="8"/>
  <c r="M19" i="8"/>
  <c r="R49" i="7"/>
  <c r="T51" i="7"/>
  <c r="T50" i="7"/>
  <c r="S51" i="7"/>
  <c r="S50" i="7"/>
  <c r="T49" i="7"/>
  <c r="S49" i="7"/>
  <c r="N15" i="7"/>
  <c r="N33" i="7"/>
  <c r="N39" i="7" s="1"/>
  <c r="L20" i="7"/>
  <c r="L19" i="7"/>
  <c r="J19" i="7"/>
  <c r="J20" i="7"/>
  <c r="K15" i="7"/>
  <c r="K33" i="7"/>
  <c r="K39" i="7" s="1"/>
  <c r="L44" i="7"/>
  <c r="L45" i="7" s="1"/>
  <c r="L40" i="7"/>
  <c r="M20" i="7"/>
  <c r="M19" i="7"/>
  <c r="J40" i="7"/>
  <c r="J44" i="7"/>
  <c r="J45" i="7" s="1"/>
  <c r="M40" i="7"/>
  <c r="M44" i="7"/>
  <c r="M45" i="7" s="1"/>
  <c r="L44" i="5"/>
  <c r="L45" i="5" s="1"/>
  <c r="L40" i="5"/>
  <c r="M20" i="5"/>
  <c r="M19" i="5"/>
  <c r="R49" i="5"/>
  <c r="S51" i="5"/>
  <c r="S50" i="5"/>
  <c r="S49" i="5"/>
  <c r="T51" i="5"/>
  <c r="T50" i="5"/>
  <c r="T49" i="5"/>
  <c r="K15" i="5"/>
  <c r="K33" i="5"/>
  <c r="K39" i="5" s="1"/>
  <c r="M44" i="5"/>
  <c r="M45" i="5" s="1"/>
  <c r="M40" i="5"/>
  <c r="J40" i="5"/>
  <c r="J44" i="5"/>
  <c r="J45" i="5" s="1"/>
  <c r="L20" i="5"/>
  <c r="L19" i="5"/>
  <c r="N15" i="5"/>
  <c r="N33" i="5"/>
  <c r="N39" i="5" s="1"/>
  <c r="R51" i="5" s="1"/>
  <c r="J19" i="5"/>
  <c r="J20" i="5"/>
  <c r="L44" i="4"/>
  <c r="L45" i="4" s="1"/>
  <c r="L40" i="4"/>
  <c r="J19" i="4"/>
  <c r="J20" i="4"/>
  <c r="M20" i="4"/>
  <c r="M19" i="4"/>
  <c r="K15" i="4"/>
  <c r="K33" i="4"/>
  <c r="K39" i="4" s="1"/>
  <c r="N33" i="4"/>
  <c r="N39" i="4" s="1"/>
  <c r="R51" i="4" s="1"/>
  <c r="N15" i="4"/>
  <c r="R49" i="4"/>
  <c r="T51" i="4"/>
  <c r="T50" i="4"/>
  <c r="S49" i="4"/>
  <c r="S51" i="4"/>
  <c r="S50" i="4"/>
  <c r="T49" i="4"/>
  <c r="L20" i="4"/>
  <c r="L19" i="4"/>
  <c r="J40" i="4"/>
  <c r="J44" i="4"/>
  <c r="J45" i="4" s="1"/>
  <c r="M40" i="4"/>
  <c r="M44" i="4"/>
  <c r="M45" i="4" s="1"/>
  <c r="K44" i="8" l="1"/>
  <c r="K40" i="8"/>
  <c r="L47" i="8"/>
  <c r="L52" i="8" s="1"/>
  <c r="L22" i="8"/>
  <c r="N19" i="8"/>
  <c r="N47" i="8" s="1"/>
  <c r="N52" i="8" s="1"/>
  <c r="N20" i="8"/>
  <c r="J22" i="8"/>
  <c r="J47" i="8"/>
  <c r="J52" i="8" s="1"/>
  <c r="K19" i="8"/>
  <c r="K20" i="8"/>
  <c r="M47" i="8"/>
  <c r="M52" i="8" s="1"/>
  <c r="M22" i="8"/>
  <c r="N40" i="8"/>
  <c r="N44" i="8"/>
  <c r="K19" i="7"/>
  <c r="K20" i="7"/>
  <c r="N40" i="7"/>
  <c r="N44" i="7"/>
  <c r="R51" i="7"/>
  <c r="J22" i="7"/>
  <c r="J47" i="7"/>
  <c r="J52" i="7" s="1"/>
  <c r="N19" i="7"/>
  <c r="N47" i="7" s="1"/>
  <c r="N52" i="7" s="1"/>
  <c r="N20" i="7"/>
  <c r="M47" i="7"/>
  <c r="M52" i="7" s="1"/>
  <c r="M22" i="7"/>
  <c r="K44" i="7"/>
  <c r="K40" i="7"/>
  <c r="L22" i="7"/>
  <c r="L47" i="7"/>
  <c r="L52" i="7" s="1"/>
  <c r="J47" i="5"/>
  <c r="J52" i="5" s="1"/>
  <c r="J22" i="5"/>
  <c r="M47" i="5"/>
  <c r="M52" i="5" s="1"/>
  <c r="M22" i="5"/>
  <c r="N40" i="5"/>
  <c r="N44" i="5"/>
  <c r="K40" i="5"/>
  <c r="K44" i="5"/>
  <c r="N19" i="5"/>
  <c r="N47" i="5" s="1"/>
  <c r="N52" i="5" s="1"/>
  <c r="N20" i="5"/>
  <c r="K19" i="5"/>
  <c r="K20" i="5"/>
  <c r="L47" i="5"/>
  <c r="L52" i="5" s="1"/>
  <c r="L22" i="5"/>
  <c r="K20" i="4"/>
  <c r="K19" i="4"/>
  <c r="J47" i="4"/>
  <c r="J52" i="4" s="1"/>
  <c r="J22" i="4"/>
  <c r="N19" i="4"/>
  <c r="N47" i="4" s="1"/>
  <c r="N52" i="4" s="1"/>
  <c r="N20" i="4"/>
  <c r="M47" i="4"/>
  <c r="M52" i="4" s="1"/>
  <c r="M22" i="4"/>
  <c r="L47" i="4"/>
  <c r="L52" i="4" s="1"/>
  <c r="L22" i="4"/>
  <c r="K40" i="4"/>
  <c r="K44" i="4"/>
  <c r="N40" i="4"/>
  <c r="N44" i="4"/>
  <c r="J57" i="8" l="1"/>
  <c r="J53" i="8"/>
  <c r="N45" i="8"/>
  <c r="R50" i="8"/>
  <c r="M57" i="8"/>
  <c r="M53" i="8"/>
  <c r="L57" i="8"/>
  <c r="L53" i="8"/>
  <c r="K22" i="8"/>
  <c r="N22" i="8" s="1"/>
  <c r="K47" i="8"/>
  <c r="K52" i="8" s="1"/>
  <c r="N57" i="8"/>
  <c r="R52" i="8" s="1"/>
  <c r="N53" i="8"/>
  <c r="D63" i="8"/>
  <c r="K45" i="8"/>
  <c r="D64" i="8"/>
  <c r="D60" i="8"/>
  <c r="D63" i="7"/>
  <c r="K45" i="7"/>
  <c r="D64" i="7"/>
  <c r="D60" i="7"/>
  <c r="N57" i="7"/>
  <c r="N53" i="7"/>
  <c r="N45" i="7"/>
  <c r="R50" i="7"/>
  <c r="L57" i="7"/>
  <c r="L53" i="7"/>
  <c r="J57" i="7"/>
  <c r="J53" i="7"/>
  <c r="M57" i="7"/>
  <c r="M53" i="7"/>
  <c r="K22" i="7"/>
  <c r="N22" i="7" s="1"/>
  <c r="K47" i="7"/>
  <c r="K52" i="7" s="1"/>
  <c r="M57" i="5"/>
  <c r="M53" i="5"/>
  <c r="D63" i="5"/>
  <c r="K45" i="5"/>
  <c r="D64" i="5"/>
  <c r="D60" i="5"/>
  <c r="K22" i="5"/>
  <c r="N22" i="5" s="1"/>
  <c r="K47" i="5"/>
  <c r="K52" i="5" s="1"/>
  <c r="N45" i="5"/>
  <c r="R50" i="5"/>
  <c r="L57" i="5"/>
  <c r="L53" i="5"/>
  <c r="N57" i="5"/>
  <c r="R52" i="5" s="1"/>
  <c r="N53" i="5"/>
  <c r="J57" i="5"/>
  <c r="J53" i="5"/>
  <c r="D63" i="4"/>
  <c r="D64" i="4"/>
  <c r="D60" i="4"/>
  <c r="K45" i="4"/>
  <c r="M57" i="4"/>
  <c r="M53" i="4"/>
  <c r="J57" i="4"/>
  <c r="J53" i="4"/>
  <c r="N45" i="4"/>
  <c r="R50" i="4"/>
  <c r="K22" i="4"/>
  <c r="N22" i="4" s="1"/>
  <c r="K47" i="4"/>
  <c r="K52" i="4" s="1"/>
  <c r="L57" i="4"/>
  <c r="L53" i="4"/>
  <c r="N57" i="4"/>
  <c r="R52" i="4" s="1"/>
  <c r="N53" i="4"/>
  <c r="K53" i="8" l="1"/>
  <c r="K57" i="8"/>
  <c r="K57" i="7"/>
  <c r="K53" i="7"/>
  <c r="K57" i="5"/>
  <c r="K53" i="5"/>
  <c r="K57" i="4"/>
  <c r="K53" i="4"/>
  <c r="E64" i="8" l="1"/>
  <c r="E60" i="8"/>
  <c r="E63" i="8"/>
  <c r="E64" i="7"/>
  <c r="E60" i="7"/>
  <c r="E63" i="7"/>
  <c r="E64" i="5"/>
  <c r="E60" i="5"/>
  <c r="E63" i="5"/>
  <c r="E64" i="4"/>
  <c r="E60" i="4"/>
  <c r="E63" i="4"/>
  <c r="AC14" i="2" l="1"/>
  <c r="M37" i="3" s="1"/>
  <c r="AC12" i="2"/>
  <c r="AC13" i="2"/>
  <c r="M36" i="3" s="1"/>
  <c r="AC15" i="2"/>
  <c r="M38" i="3" s="1"/>
  <c r="M14" i="2"/>
  <c r="M12" i="2"/>
  <c r="M15" i="2"/>
  <c r="M13" i="2"/>
  <c r="AA14" i="2"/>
  <c r="G5" i="3" s="1"/>
  <c r="AA13" i="2"/>
  <c r="G4" i="3" s="1"/>
  <c r="AA15" i="2"/>
  <c r="G6" i="3" s="1"/>
  <c r="AA12" i="2"/>
  <c r="V13" i="2"/>
  <c r="E4" i="3" s="1"/>
  <c r="V15" i="2"/>
  <c r="E6" i="3" s="1"/>
  <c r="V14" i="2"/>
  <c r="E5" i="3" s="1"/>
  <c r="V12" i="2"/>
  <c r="Y14" i="2"/>
  <c r="I5" i="3" s="1"/>
  <c r="Y12" i="2"/>
  <c r="Y13" i="2"/>
  <c r="I4" i="3" s="1"/>
  <c r="Y15" i="2"/>
  <c r="I6" i="3" s="1"/>
  <c r="X15" i="2"/>
  <c r="H6" i="3" s="1"/>
  <c r="X12" i="2"/>
  <c r="X13" i="2"/>
  <c r="H4" i="3" s="1"/>
  <c r="X14" i="2"/>
  <c r="H5" i="3" s="1"/>
  <c r="W13" i="2"/>
  <c r="F4" i="3" s="1"/>
  <c r="W14" i="2"/>
  <c r="F5" i="3" s="1"/>
  <c r="W15" i="2"/>
  <c r="F6" i="3" s="1"/>
  <c r="W12" i="2"/>
  <c r="R13" i="2"/>
  <c r="R15" i="2"/>
  <c r="R12" i="2"/>
  <c r="R14" i="2"/>
  <c r="T13" i="2"/>
  <c r="B4" i="3" s="1"/>
  <c r="T15" i="2"/>
  <c r="B6" i="3" s="1"/>
  <c r="T12" i="2"/>
  <c r="T14" i="2"/>
  <c r="B5" i="3" s="1"/>
  <c r="U14" i="2"/>
  <c r="C5" i="3" s="1"/>
  <c r="U15" i="2"/>
  <c r="C6" i="3" s="1"/>
  <c r="U13" i="2"/>
  <c r="C4" i="3" s="1"/>
  <c r="U12" i="2"/>
  <c r="L15" i="2"/>
  <c r="L12" i="2"/>
  <c r="L13" i="2"/>
  <c r="L14" i="2"/>
  <c r="S14" i="2"/>
  <c r="S13" i="2"/>
  <c r="S15" i="2"/>
  <c r="S12" i="2"/>
  <c r="AD13" i="2"/>
  <c r="AD14" i="2"/>
  <c r="AD15" i="2"/>
  <c r="AD12" i="2"/>
  <c r="N13" i="2"/>
  <c r="N14" i="2"/>
  <c r="N15" i="2"/>
  <c r="N12" i="2"/>
  <c r="K13" i="2"/>
  <c r="K14" i="2"/>
  <c r="K15" i="2"/>
  <c r="K12" i="2"/>
  <c r="Q14" i="2"/>
  <c r="Q12" i="2"/>
  <c r="Q15" i="2"/>
  <c r="Q13" i="2"/>
  <c r="P15" i="2"/>
  <c r="P13" i="2"/>
  <c r="P12" i="2"/>
  <c r="P14" i="2"/>
  <c r="AE12" i="2"/>
  <c r="AE14" i="2"/>
  <c r="M40" i="3" s="1"/>
  <c r="AE13" i="2"/>
  <c r="M39" i="3" s="1"/>
  <c r="AE15" i="2"/>
  <c r="M41" i="3" s="1"/>
  <c r="O12" i="2"/>
  <c r="O13" i="2"/>
  <c r="O15" i="2"/>
  <c r="O14" i="2"/>
  <c r="AB15" i="2"/>
  <c r="J6" i="3" s="1"/>
  <c r="AB13" i="2"/>
  <c r="J4" i="3" s="1"/>
  <c r="AB12" i="2"/>
  <c r="AB14" i="2"/>
  <c r="J5" i="3" s="1"/>
  <c r="Z12" i="2"/>
  <c r="Z13" i="2"/>
  <c r="D4" i="3" s="1"/>
  <c r="Z15" i="2"/>
  <c r="D6" i="3" s="1"/>
  <c r="Z14" i="2"/>
  <c r="D5" i="3" s="1"/>
  <c r="J28" i="3" l="1"/>
  <c r="J26" i="3" s="1"/>
  <c r="J24" i="3" s="1"/>
  <c r="J21" i="3"/>
  <c r="J19" i="3" s="1"/>
  <c r="J17" i="3" s="1"/>
  <c r="J14" i="3"/>
  <c r="J12" i="3" s="1"/>
  <c r="J10" i="3" s="1"/>
  <c r="I10" i="3" l="1"/>
  <c r="I12" i="3" s="1"/>
  <c r="I14" i="3" s="1"/>
  <c r="H24" i="3"/>
  <c r="H26" i="3" s="1"/>
  <c r="H28" i="3" s="1"/>
  <c r="B17" i="3"/>
  <c r="B19" i="3" s="1"/>
  <c r="B21" i="3" s="1"/>
  <c r="B24" i="3"/>
  <c r="B26" i="3" s="1"/>
  <c r="B28" i="3" s="1"/>
  <c r="B10" i="3"/>
  <c r="B12" i="3" s="1"/>
  <c r="B14" i="3" s="1"/>
  <c r="N36" i="3"/>
  <c r="N37" i="3"/>
  <c r="N38" i="3"/>
  <c r="N41" i="3"/>
  <c r="N40" i="3"/>
  <c r="N39" i="3"/>
  <c r="G14" i="3"/>
  <c r="G12" i="3" s="1"/>
  <c r="G10" i="3" s="1"/>
  <c r="G21" i="3"/>
  <c r="G19" i="3" s="1"/>
  <c r="G17" i="3" s="1"/>
  <c r="G28" i="3"/>
  <c r="C10" i="3"/>
  <c r="C12" i="3" s="1"/>
  <c r="C14" i="3" s="1"/>
  <c r="C17" i="3"/>
  <c r="C19" i="3" s="1"/>
  <c r="C21" i="3" s="1"/>
  <c r="C24" i="3"/>
  <c r="C26" i="3" s="1"/>
  <c r="C28" i="3" s="1"/>
  <c r="O3" i="3" l="1"/>
  <c r="M3" i="3"/>
  <c r="O4" i="3"/>
  <c r="M4" i="3"/>
  <c r="O10" i="3"/>
  <c r="M10" i="3"/>
  <c r="G26" i="3"/>
  <c r="G24" i="3" s="1"/>
  <c r="M8" i="3"/>
  <c r="O8" i="3"/>
  <c r="M9" i="3"/>
  <c r="O9" i="3"/>
  <c r="I24" i="3"/>
  <c r="I26" i="3" s="1"/>
  <c r="I28" i="3" s="1"/>
  <c r="I17" i="3"/>
  <c r="I19" i="3" s="1"/>
  <c r="I21" i="3" s="1"/>
  <c r="H17" i="3"/>
  <c r="H19" i="3" s="1"/>
  <c r="H21" i="3" s="1"/>
  <c r="H10" i="3"/>
  <c r="H12" i="3" s="1"/>
  <c r="H14" i="3" s="1"/>
  <c r="E10" i="3"/>
  <c r="E12" i="3" s="1"/>
  <c r="E14" i="3" s="1"/>
  <c r="E17" i="3"/>
  <c r="E19" i="3" s="1"/>
  <c r="E21" i="3" s="1"/>
  <c r="E24" i="3"/>
  <c r="E26" i="3" s="1"/>
  <c r="E28" i="3" s="1"/>
  <c r="M6" i="3" l="1"/>
  <c r="N9" i="3"/>
  <c r="N10" i="3"/>
  <c r="N3" i="3"/>
  <c r="N4" i="3"/>
  <c r="O6" i="3"/>
  <c r="N8" i="3"/>
  <c r="D21" i="3"/>
  <c r="D19" i="3" s="1"/>
  <c r="D17" i="3" s="1"/>
  <c r="D28" i="3"/>
  <c r="D14" i="3"/>
  <c r="D12" i="3" s="1"/>
  <c r="D10" i="3" s="1"/>
  <c r="N6" i="3" l="1"/>
  <c r="O5" i="3"/>
  <c r="D26" i="3"/>
  <c r="D24" i="3" s="1"/>
  <c r="M5" i="3"/>
  <c r="F24" i="3"/>
  <c r="F26" i="3" s="1"/>
  <c r="F28" i="3" s="1"/>
  <c r="F10" i="3"/>
  <c r="F12" i="3" s="1"/>
  <c r="F14" i="3" s="1"/>
  <c r="F17" i="3"/>
  <c r="F19" i="3" s="1"/>
  <c r="F21" i="3" s="1"/>
  <c r="N5" i="3" l="1"/>
  <c r="O7" i="3"/>
  <c r="M7" i="3"/>
  <c r="N7"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Brando Pakel</author>
  </authors>
  <commentList>
    <comment ref="E15" authorId="0" shapeId="0" xr:uid="{C36707F6-6B49-4416-A9F0-016FAE64969E}">
      <text>
        <r>
          <rPr>
            <b/>
            <sz val="9"/>
            <color indexed="81"/>
            <rFont val="Tahoma"/>
            <family val="2"/>
          </rPr>
          <t>Brando Pakel:</t>
        </r>
        <r>
          <rPr>
            <sz val="9"/>
            <color indexed="81"/>
            <rFont val="Tahoma"/>
            <family val="2"/>
          </rPr>
          <t xml:space="preserve">
300mm for AMD driven primarily by lower operating expenses and cost of goods sold.</t>
        </r>
      </text>
    </comment>
    <comment ref="A18" authorId="0" shapeId="0" xr:uid="{7F5A46DD-9CC1-4272-8D10-03D2940592B3}">
      <text>
        <r>
          <rPr>
            <b/>
            <sz val="9"/>
            <color indexed="81"/>
            <rFont val="Tahoma"/>
            <family val="2"/>
          </rPr>
          <t>Brando Pakel:</t>
        </r>
        <r>
          <rPr>
            <sz val="9"/>
            <color indexed="81"/>
            <rFont val="Tahoma"/>
            <family val="2"/>
          </rPr>
          <t xml:space="preserve">
From DEFM14A summary section
</t>
        </r>
      </text>
    </comment>
    <comment ref="A24" authorId="0" shapeId="0" xr:uid="{11C9C00B-1DE1-4758-9700-71380CB15B82}">
      <text>
        <r>
          <rPr>
            <b/>
            <sz val="9"/>
            <color indexed="81"/>
            <rFont val="Tahoma"/>
            <family val="2"/>
          </rPr>
          <t>Brando Pakel:</t>
        </r>
        <r>
          <rPr>
            <sz val="9"/>
            <color indexed="81"/>
            <rFont val="Tahoma"/>
            <family val="2"/>
          </rPr>
          <t xml:space="preserve">
from DEFM14A Summary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Brando Pakel</author>
  </authors>
  <commentList>
    <comment ref="X12" authorId="0" shapeId="0" xr:uid="{ED9D2D7F-E19E-4E6D-A0D2-79DD516EFF6B}">
      <text>
        <r>
          <rPr>
            <b/>
            <sz val="9"/>
            <color indexed="81"/>
            <rFont val="Tahoma"/>
            <family val="2"/>
          </rPr>
          <t>Brando Pakel:</t>
        </r>
        <r>
          <rPr>
            <sz val="9"/>
            <color indexed="81"/>
            <rFont val="Tahoma"/>
            <family val="2"/>
          </rPr>
          <t xml:space="preserve">
EBIT with added D&amp;A from Non-GAAP Adjustments Section</t>
        </r>
      </text>
    </comment>
    <comment ref="A18" authorId="0" shapeId="0" xr:uid="{2C88495E-A584-4AA3-B5A2-A28F335E38FE}">
      <text>
        <r>
          <rPr>
            <b/>
            <sz val="9"/>
            <color indexed="81"/>
            <rFont val="Tahoma"/>
            <family val="2"/>
          </rPr>
          <t>Brando Pakel:</t>
        </r>
        <r>
          <rPr>
            <sz val="9"/>
            <color indexed="81"/>
            <rFont val="Tahoma"/>
            <family val="2"/>
          </rPr>
          <t xml:space="preserve">
From company site</t>
        </r>
      </text>
    </comment>
    <comment ref="A24" authorId="0" shapeId="0" xr:uid="{9ECCCD85-A133-44D7-81EE-6FE8BA307A86}">
      <text>
        <r>
          <rPr>
            <b/>
            <sz val="9"/>
            <color indexed="81"/>
            <rFont val="Tahoma"/>
            <family val="2"/>
          </rPr>
          <t>Brando Pakel:</t>
        </r>
        <r>
          <rPr>
            <sz val="9"/>
            <color indexed="81"/>
            <rFont val="Tahoma"/>
            <family val="2"/>
          </rPr>
          <t xml:space="preserve">
From company site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Brando Pakel</author>
  </authors>
  <commentList>
    <comment ref="E15" authorId="0" shapeId="0" xr:uid="{2AFDC347-1C1A-42FB-A901-81174D55566B}">
      <text>
        <r>
          <rPr>
            <b/>
            <sz val="9"/>
            <color indexed="81"/>
            <rFont val="Tahoma"/>
            <family val="2"/>
          </rPr>
          <t>Brando Pakel:</t>
        </r>
        <r>
          <rPr>
            <sz val="9"/>
            <color indexed="81"/>
            <rFont val="Tahoma"/>
            <family val="2"/>
          </rPr>
          <t xml:space="preserve">
from DEFM14A pg 117.</t>
        </r>
      </text>
    </comment>
    <comment ref="A18" authorId="0" shapeId="0" xr:uid="{957BCC4B-433B-4142-9514-02DD51EC7B9A}">
      <text>
        <r>
          <rPr>
            <b/>
            <sz val="9"/>
            <color indexed="81"/>
            <rFont val="Tahoma"/>
            <family val="2"/>
          </rPr>
          <t>Brando Pakel:</t>
        </r>
        <r>
          <rPr>
            <sz val="9"/>
            <color indexed="81"/>
            <rFont val="Tahoma"/>
            <family val="2"/>
          </rPr>
          <t xml:space="preserve">
From DEFM14A summary section</t>
        </r>
      </text>
    </comment>
    <comment ref="A24" authorId="0" shapeId="0" xr:uid="{B75573E5-AA81-4882-BE5E-A189CF28031F}">
      <text>
        <r>
          <rPr>
            <b/>
            <sz val="9"/>
            <color indexed="81"/>
            <rFont val="Tahoma"/>
            <family val="2"/>
          </rPr>
          <t>Brando Pakel:</t>
        </r>
        <r>
          <rPr>
            <sz val="9"/>
            <color indexed="81"/>
            <rFont val="Tahoma"/>
            <family val="2"/>
          </rPr>
          <t xml:space="preserve">
From DEFM14A summary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Brando Pakel</author>
  </authors>
  <commentList>
    <comment ref="A18" authorId="0" shapeId="0" xr:uid="{236943F1-712C-4AFA-B35B-2B079DDACFFE}">
      <text>
        <r>
          <rPr>
            <b/>
            <sz val="9"/>
            <color indexed="81"/>
            <rFont val="Tahoma"/>
            <family val="2"/>
          </rPr>
          <t>Brando Pakel:</t>
        </r>
        <r>
          <rPr>
            <sz val="9"/>
            <color indexed="81"/>
            <rFont val="Tahoma"/>
            <family val="2"/>
          </rPr>
          <t xml:space="preserve">
From DEFM14A summary section</t>
        </r>
      </text>
    </comment>
    <comment ref="A24" authorId="0" shapeId="0" xr:uid="{56C07F1B-5845-4BC4-ACF1-8CA611A15D0F}">
      <text>
        <r>
          <rPr>
            <b/>
            <sz val="9"/>
            <color indexed="81"/>
            <rFont val="Tahoma"/>
            <family val="2"/>
          </rPr>
          <t>Brando Pakel:</t>
        </r>
        <r>
          <rPr>
            <sz val="9"/>
            <color indexed="81"/>
            <rFont val="Tahoma"/>
            <family val="2"/>
          </rPr>
          <t xml:space="preserve">
From DEFM14A summary section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<sst xmlns="http://schemas.openxmlformats.org/spreadsheetml/2006/main" count="865" uniqueCount="251">
  <si>
    <t>Nvidia Precedent Transaction Analysis</t>
  </si>
  <si>
    <t>($ in millions, except per share data unless otherwise noted in the currency column)</t>
  </si>
  <si>
    <t>Transaction Information</t>
  </si>
  <si>
    <t>LTM Financial Statistics</t>
  </si>
  <si>
    <t xml:space="preserve">Transaction Value (aka. Enterprise Value) / </t>
  </si>
  <si>
    <t xml:space="preserve">Offer Value per Share / </t>
  </si>
  <si>
    <t>Premiums Paid</t>
  </si>
  <si>
    <t>Date</t>
  </si>
  <si>
    <t>Transaction</t>
  </si>
  <si>
    <t>Form of</t>
  </si>
  <si>
    <t>% of Target</t>
  </si>
  <si>
    <t>Deal</t>
  </si>
  <si>
    <t xml:space="preserve">Equity </t>
  </si>
  <si>
    <t>Gross</t>
  </si>
  <si>
    <t>EBITDA</t>
  </si>
  <si>
    <t>EBIT</t>
  </si>
  <si>
    <t>Net</t>
  </si>
  <si>
    <t>LTM</t>
  </si>
  <si>
    <t>Forecast Year 1</t>
  </si>
  <si>
    <t>Forecast Year 2</t>
  </si>
  <si>
    <t>Fcst Yr 1</t>
  </si>
  <si>
    <t>Fcst Yr 2</t>
  </si>
  <si>
    <t>Days Prior to Unaffected</t>
  </si>
  <si>
    <t>Target</t>
  </si>
  <si>
    <t>Acquirer</t>
  </si>
  <si>
    <t>Announced</t>
  </si>
  <si>
    <t>Type</t>
  </si>
  <si>
    <t>Consideration</t>
  </si>
  <si>
    <t>Status</t>
  </si>
  <si>
    <t>Acquired</t>
  </si>
  <si>
    <t>Currency</t>
  </si>
  <si>
    <t>Purch. Price</t>
  </si>
  <si>
    <t>Value (EV)</t>
  </si>
  <si>
    <t>Sales</t>
  </si>
  <si>
    <t>Profit</t>
  </si>
  <si>
    <t>EPS</t>
  </si>
  <si>
    <t>Margin</t>
  </si>
  <si>
    <t>Xilinx</t>
  </si>
  <si>
    <t>Tower Semiconductor</t>
  </si>
  <si>
    <t>Maxim Integrated</t>
  </si>
  <si>
    <t>Cypress</t>
  </si>
  <si>
    <t>Median</t>
  </si>
  <si>
    <t>Mean</t>
  </si>
  <si>
    <t>High</t>
  </si>
  <si>
    <t>Low</t>
  </si>
  <si>
    <t>Nvidia</t>
  </si>
  <si>
    <t>1 Year Forward</t>
  </si>
  <si>
    <t>2 Year Forward</t>
  </si>
  <si>
    <t>Metric</t>
  </si>
  <si>
    <t>Lower Value</t>
  </si>
  <si>
    <t>Column Value</t>
  </si>
  <si>
    <t>Upper Value</t>
  </si>
  <si>
    <t>Pencentiles --&gt;</t>
  </si>
  <si>
    <t>EV / Sales</t>
  </si>
  <si>
    <t>EV / EBITDA</t>
  </si>
  <si>
    <t xml:space="preserve">P/E </t>
  </si>
  <si>
    <t>P/E</t>
  </si>
  <si>
    <t>LTM EV / Sales</t>
  </si>
  <si>
    <t>LTM EV / EBITDA</t>
  </si>
  <si>
    <t xml:space="preserve">LTM P/E </t>
  </si>
  <si>
    <t>1 Yr. EV / Sales</t>
  </si>
  <si>
    <t>Nvidia Metrics</t>
  </si>
  <si>
    <t>1 Yr. EV / EBITDA</t>
  </si>
  <si>
    <t>1 Yr. P/E</t>
  </si>
  <si>
    <t>1 Day Premium to Public Share Prices</t>
  </si>
  <si>
    <t>Enterprise value</t>
  </si>
  <si>
    <t>90 Day Premium to Public Share Prices</t>
  </si>
  <si>
    <t>(-) Net debt</t>
  </si>
  <si>
    <t>(=) Equity value</t>
  </si>
  <si>
    <t>( / ) Shares outstanding</t>
  </si>
  <si>
    <t>(=) Share price</t>
  </si>
  <si>
    <t>Premiums Paid to Public Share Prices</t>
  </si>
  <si>
    <t>Implied Share Price</t>
  </si>
  <si>
    <t>Nvidia Price per Share</t>
  </si>
  <si>
    <t>Mean Premium - 1 Day</t>
  </si>
  <si>
    <t>High Premium - 1 Day</t>
  </si>
  <si>
    <t>Low Premium - 1 Day</t>
  </si>
  <si>
    <t>Mean Premium - 90 Days</t>
  </si>
  <si>
    <t>High Premium - 90 Days</t>
  </si>
  <si>
    <t>Low Premium - 90 Days</t>
  </si>
  <si>
    <t>General Transaction Information</t>
  </si>
  <si>
    <t>Reported Income Statement</t>
  </si>
  <si>
    <t>Enterprise &amp; Equity Value Build</t>
  </si>
  <si>
    <t>Prior</t>
  </si>
  <si>
    <t xml:space="preserve">Current </t>
  </si>
  <si>
    <t>Cash Offer Price per Share</t>
  </si>
  <si>
    <t>AMD</t>
  </si>
  <si>
    <t>Fiscal YTD</t>
  </si>
  <si>
    <t>Stock Offer Price per Share</t>
  </si>
  <si>
    <t>Date Announced</t>
  </si>
  <si>
    <t>Exchange Ratio</t>
  </si>
  <si>
    <t>Latest Fiscal Year End Date</t>
  </si>
  <si>
    <t>Revenue</t>
  </si>
  <si>
    <t>Acquirer Price per Share</t>
  </si>
  <si>
    <t>Transaction Currency</t>
  </si>
  <si>
    <t>USD</t>
  </si>
  <si>
    <t>COGS</t>
  </si>
  <si>
    <t>Offer Price per Share</t>
  </si>
  <si>
    <t>Transaction Status</t>
  </si>
  <si>
    <t>Completed</t>
  </si>
  <si>
    <t>Gross Profit</t>
  </si>
  <si>
    <t>Fully Diluted Shares Outstanding (FDSO)</t>
  </si>
  <si>
    <t>Marginal Tax Rate Assumption</t>
  </si>
  <si>
    <t>SG&amp;A and Other OpEx</t>
  </si>
  <si>
    <t>Equity Value (Offer Price or Equity Purch. Price)</t>
  </si>
  <si>
    <t>Transaction Type</t>
  </si>
  <si>
    <t>Public / Public</t>
  </si>
  <si>
    <t>Operating Income (EBIT)</t>
  </si>
  <si>
    <t>Form of Consideration</t>
  </si>
  <si>
    <t>Shares / Cash</t>
  </si>
  <si>
    <t>Other Expense / (Income)</t>
  </si>
  <si>
    <t>Plus: Total Debt</t>
  </si>
  <si>
    <t>% of Target Acquired</t>
  </si>
  <si>
    <t>Interest Expense / (Income)</t>
  </si>
  <si>
    <t>Plus: Preferred Stock</t>
  </si>
  <si>
    <t>Estimated Synergies Disclosed</t>
  </si>
  <si>
    <t>Pre-tax Income</t>
  </si>
  <si>
    <t>Plus: Noncontrolling Interest</t>
  </si>
  <si>
    <t>Income Taxes</t>
  </si>
  <si>
    <t>Less: Cash and Cash Equivalents</t>
  </si>
  <si>
    <t>Target Description:</t>
  </si>
  <si>
    <t>Noncontrolling Interest</t>
  </si>
  <si>
    <t>Enterprise Value (Transaction Value)</t>
  </si>
  <si>
    <t>Xilinx designs and develops programmable devices and associated technologies, including integrated circuits (ICs) in the form of programmable logic devices, including programmable System on Chips, three-dimensional Ics and Adaptive Compute Acceleration Pltaform.</t>
  </si>
  <si>
    <t>Preferred Dividends / Other</t>
  </si>
  <si>
    <t>Net Income</t>
  </si>
  <si>
    <t>Effective Tax Rate</t>
  </si>
  <si>
    <t>Calculation of Fully Diluted Shares Outstanding</t>
  </si>
  <si>
    <t>Weighted Avg. Diluted Shares</t>
  </si>
  <si>
    <t>Basic Shares Outstanding</t>
  </si>
  <si>
    <t>Diluted EPS</t>
  </si>
  <si>
    <t>Plus: Shares from In-the-Money Options</t>
  </si>
  <si>
    <t>Acquirer Description:</t>
  </si>
  <si>
    <t>Less: Shares Repurchased</t>
  </si>
  <si>
    <t>AMD produces x86 microprocessors, accelerated processing units which integrate microprocessors and graphics, discrete graphics processing units, semi-custom System-on-Chip products and chipsets for the PC, gaming, datacenter and embedded markets.</t>
  </si>
  <si>
    <t>Non-GAAP Adjustments</t>
  </si>
  <si>
    <t xml:space="preserve">   Net New Shares from Options</t>
  </si>
  <si>
    <t>Plus: Shares from Convertible Securities</t>
  </si>
  <si>
    <t>Plus: Shares from Other Dilution (RSUs, SARs, ESOPs)</t>
  </si>
  <si>
    <t xml:space="preserve">   Fully Diluted Shares Outstanding</t>
  </si>
  <si>
    <t>Reported Gross Profit</t>
  </si>
  <si>
    <t>Transaction Comments:</t>
  </si>
  <si>
    <t>Non-recurring Items in COGS</t>
  </si>
  <si>
    <t>Options/Warrants</t>
  </si>
  <si>
    <t>At the effective time, each share of Xilinx common stock that was issued and outstanding immmediately prior to the effectivfe time will be converted into the right to receive 1.7234 shares of AMD common stock as well as scash in lieu of any fractional shares of AMD common stock. This exchange ratio is fixed. No financing conditions.</t>
  </si>
  <si>
    <t>Adj. Gross Profit</t>
  </si>
  <si>
    <t>Number of</t>
  </si>
  <si>
    <t>Exercise</t>
  </si>
  <si>
    <t>In-the-Money</t>
  </si>
  <si>
    <t xml:space="preserve">   % margin</t>
  </si>
  <si>
    <t>Tranche</t>
  </si>
  <si>
    <t>Shares</t>
  </si>
  <si>
    <t>Price</t>
  </si>
  <si>
    <t>Proceeds</t>
  </si>
  <si>
    <t>Tranche 1</t>
  </si>
  <si>
    <t>Reported EBIT</t>
  </si>
  <si>
    <t>Tranche 2</t>
  </si>
  <si>
    <t>Restructuring Charges</t>
  </si>
  <si>
    <t>Tranche 3</t>
  </si>
  <si>
    <t>Impairment Charges</t>
  </si>
  <si>
    <t>Tranche 4</t>
  </si>
  <si>
    <t>Stock-based Compensation</t>
  </si>
  <si>
    <t>Tranche 5</t>
  </si>
  <si>
    <t>Projected Financials</t>
  </si>
  <si>
    <t>Losses / (Gains) on Asset Sales</t>
  </si>
  <si>
    <t xml:space="preserve">   Total</t>
  </si>
  <si>
    <t>FYE</t>
  </si>
  <si>
    <t>Other Non-recurring Items</t>
  </si>
  <si>
    <t>Convertible Securities</t>
  </si>
  <si>
    <t>Revenues - FY1 Est.</t>
  </si>
  <si>
    <t>Sources --&gt;</t>
  </si>
  <si>
    <t>Adjusted EBIT (inc. Non-rec. COGS)</t>
  </si>
  <si>
    <t>Conversion</t>
  </si>
  <si>
    <t xml:space="preserve">Conversion </t>
  </si>
  <si>
    <t xml:space="preserve">New </t>
  </si>
  <si>
    <t>EBITDA - FY1 Est.</t>
  </si>
  <si>
    <t>Amount</t>
  </si>
  <si>
    <t>Ratio</t>
  </si>
  <si>
    <t>EBIT - FY1 Est.</t>
  </si>
  <si>
    <t>FY2021 DA</t>
  </si>
  <si>
    <t>Issue 1</t>
  </si>
  <si>
    <t>EPS - FY1 Est.</t>
  </si>
  <si>
    <t>Depreciation &amp; Amortization</t>
  </si>
  <si>
    <t>Issue 2</t>
  </si>
  <si>
    <t>Other Non-cash Non-rec. Items</t>
  </si>
  <si>
    <t>Issue 3</t>
  </si>
  <si>
    <t>Adjusted EBITDA</t>
  </si>
  <si>
    <t>Revenues - FY2 Est.</t>
  </si>
  <si>
    <t>EBITDA - FY2 Est.</t>
  </si>
  <si>
    <t>Transaction Valuation Multiples</t>
  </si>
  <si>
    <t>EBIT - FY2 Est.</t>
  </si>
  <si>
    <t>Reported Net Income</t>
  </si>
  <si>
    <t>NFY</t>
  </si>
  <si>
    <t>NFY+1</t>
  </si>
  <si>
    <t>EPS - FY2 Est.</t>
  </si>
  <si>
    <t>Non-recurring Items in EBIT</t>
  </si>
  <si>
    <t>Revenues - FY3 Est.</t>
  </si>
  <si>
    <t xml:space="preserve">Tax Adjustment </t>
  </si>
  <si>
    <t>EV / EBIT</t>
  </si>
  <si>
    <t>EBITDA - FY3 Est.</t>
  </si>
  <si>
    <t>Adjusted Net Income</t>
  </si>
  <si>
    <t>EBIT - FY3 Est.</t>
  </si>
  <si>
    <t>EPS - FY3 Est.</t>
  </si>
  <si>
    <t>FDSO Numerator Adjustment</t>
  </si>
  <si>
    <t>Transaction Announcement</t>
  </si>
  <si>
    <t>Premium</t>
  </si>
  <si>
    <t>Comparable Growth Metrics</t>
  </si>
  <si>
    <t>FDSO Denominator Adjustment</t>
  </si>
  <si>
    <t>1 Day Prior</t>
  </si>
  <si>
    <t>Adjusted Diluted EPS</t>
  </si>
  <si>
    <t>Unaffected Share Price</t>
  </si>
  <si>
    <t>Historical</t>
  </si>
  <si>
    <t>Footnotes</t>
  </si>
  <si>
    <t>1-year</t>
  </si>
  <si>
    <t>30 Days Prior</t>
  </si>
  <si>
    <t>90 Days Prior</t>
  </si>
  <si>
    <t>Estimated</t>
  </si>
  <si>
    <t>2-year CAGR</t>
  </si>
  <si>
    <t>Source Documents &amp; References:</t>
  </si>
  <si>
    <t>Period</t>
  </si>
  <si>
    <t>Date Filed</t>
  </si>
  <si>
    <t>Select Cash Flow Statement Data</t>
  </si>
  <si>
    <t>Scratch Work:</t>
  </si>
  <si>
    <t>Intel</t>
  </si>
  <si>
    <t>Projection Work</t>
  </si>
  <si>
    <t>LFY</t>
  </si>
  <si>
    <t>Pending</t>
  </si>
  <si>
    <t>SGA and Other OpEx</t>
  </si>
  <si>
    <t>Cash</t>
  </si>
  <si>
    <t>Drivers:</t>
  </si>
  <si>
    <t>Revenue Growth</t>
  </si>
  <si>
    <t>Gross Margin</t>
  </si>
  <si>
    <t>Tower Semiconductor specializes in customized analog solutions for manafacturing differentiated products, offering cutting-edge process technologies including Radio Frequency, High Performance Analog, integrated Power Management, CMOS Image Sensors, Non-Imaging Sensors and Mixed-Signal CMOS, as well as Micro-Electro-Mechanical Systems capabilities.</t>
  </si>
  <si>
    <t>SG&amp;A/OpEx as a % of Revenue</t>
  </si>
  <si>
    <t>EBITDA Margin</t>
  </si>
  <si>
    <t>Intel is an industry leader, creating world-changing technology that enables global progress and enriches lives. We stand at the brink of several technology inflections - artificial intelligence, 5G network transformation, and the rise of the intelligent edge - that together will shape the future of technology.</t>
  </si>
  <si>
    <t>1071 RSU and Options</t>
  </si>
  <si>
    <t>Diluted shares 110,041</t>
  </si>
  <si>
    <t>Intel valued Tower Semiconductor Ltd. at a valuation of 5.4B. Target price for Tower shares would be $52 per share. No financing conditions.</t>
  </si>
  <si>
    <t>Analog Devices Inc.</t>
  </si>
  <si>
    <t>Maxim designs, develops, manufactures and markets a broad range of linear and mixed-signal integrated circuits, commonly referred to as "analog circuits," for a large number of customers in diverse geographic locations.</t>
  </si>
  <si>
    <t>Analog Devices is a global leader in the design, manufacture and marketing of a broad portfolio of solutions that leverage high-performance analog, mixed-signal and digital signal processing technology, including integrated circuits, algorithms, software and subsystems.</t>
  </si>
  <si>
    <t>No financing conditions. Fixed exchange ratio with an implied value of the merger consideration to Maxim stockholders of $73.63 per share of Maxim common stock. Exchange ratio of 0.6300 of a share of Analog Devices common stock.</t>
  </si>
  <si>
    <t>Infineon</t>
  </si>
  <si>
    <t>Cypress manufactures and sells advanced embedded system solutions for automotive, industrial, consumer and enterprise end markets.</t>
  </si>
  <si>
    <t>Infineon is a world leader in semiconductor solutions that make life easier, safer and greener.</t>
  </si>
  <si>
    <t>rsu - 102,588 in thousands - espp 3,394 in thousands</t>
  </si>
  <si>
    <t>rsu - 54 unrecognized stock-based compensation</t>
  </si>
  <si>
    <t>rsu - rounded up to 8 rsu</t>
  </si>
  <si>
    <t>Merger is not subject to any financing conditions.</t>
  </si>
  <si>
    <t>FY2019 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</si>
</sst>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8">
    <numFmt numFmtId="5" formatCode="&quot;$&quot;#,##0_);\(&quot;$&quot;#,##0\)"/>
    <numFmt numFmtId="7" formatCode="&quot;$&quot;#,##0.00_);\(&quot;$&quot;#,##0.00\)"/>
    <numFmt numFmtId="41" formatCode="_(* #,##0_);_(* \(#,##0\);_(* &quot;-&quot;_);_(@_)"/>
    <numFmt numFmtId="44" formatCode="_(&quot;$&quot;* #,##0.00_);_(&quot;$&quot;* \(#,##0.00\);_(&quot;$&quot;* &quot;-&quot;??_);_(@_)"/>
    <numFmt numFmtId="43" formatCode="_(* #,##0.00_);_(* \(#,##0.00\);_(* &quot;-&quot;??_);_(@_)"/>
    <numFmt numFmtId="164" formatCode="&quot;$&quot;#,##0.00_);\(&quot;$&quot;#,##0.00\);@_)"/>
    <numFmt numFmtId="165" formatCode="&quot;$&quot;#,##0.00;\(&quot;$&quot;#,##0.00\);&quot;–&quot;;@"/>
    <numFmt numFmtId="166" formatCode="m/d/yy;@"/>
    <numFmt numFmtId="167" formatCode="0.0\x"/>
    <numFmt numFmtId="168" formatCode="_(&quot;$&quot;* #,##0.0_);_(&quot;$&quot;* \(#,##0.0\);_(&quot;$&quot;* &quot;-&quot;??_);_(@_)"/>
    <numFmt numFmtId="169" formatCode="0.0%"/>
    <numFmt numFmtId="170" formatCode="\(@\)"/>
    <numFmt numFmtId="171" formatCode="m/d/yyyy;@"/>
    <numFmt numFmtId="172" formatCode="* _(&quot;$&quot;#,##0.00_);* \(&quot;$&quot;#,##0.00\);* _(&quot;-&quot;?_);_(@_)"/>
    <numFmt numFmtId="173" formatCode="yyyy\A"/>
    <numFmt numFmtId="174" formatCode="* _(#,##0.00_);* \(#,##0.00\);* _(&quot;-&quot;?_);_(@_)"/>
    <numFmt numFmtId="175" formatCode="mmm\-dd"/>
    <numFmt numFmtId="176" formatCode="* _(&quot;$&quot;##,##0_);[Red]* \(&quot;$&quot;##,##0\);* _(&quot;-&quot;?_);_(@_)"/>
    <numFmt numFmtId="177" formatCode="* _(&quot;$&quot;#,##0_);* \(&quot;$&quot;#,##0\);* _(&quot;-&quot;?_);_(@_)"/>
    <numFmt numFmtId="178" formatCode="* _(##,##0_);* \(##,##0\);* _(&quot;-&quot;?_);_(@_)"/>
    <numFmt numFmtId="179" formatCode="* _(#,##0%_);* \(#,##0%\);* _(&quot;-&quot;?_);_(@_)"/>
    <numFmt numFmtId="180" formatCode="_(&quot;$&quot;* #,##0.0_);_(&quot;$&quot;* \(#,##0.0\);_(&quot;$&quot;* &quot;-&quot;?_);_(@_)"/>
    <numFmt numFmtId="181" formatCode="_(* #,##0.0_);_(* \(#,##0.0\);_(* &quot;-&quot;?_);_(@_)"/>
    <numFmt numFmtId="182" formatCode="* _(##,##0.000_);* \(##,##0.000\);* _(&quot;-&quot;?_);_(@_)"/>
    <numFmt numFmtId="183" formatCode="* _(#,##0_);* \(#,##0\);* _(&quot;-&quot;?_);_(@_)"/>
    <numFmt numFmtId="184" formatCode="* _(#,##0.0_);* \(#,##0.0\);* _(&quot;-&quot;?_);_(@_)"/>
    <numFmt numFmtId="185" formatCode="* _(##,##0_);[Red]* \(##,##0\);* _(&quot;-&quot;?_);_(@_)"/>
    <numFmt numFmtId="186" formatCode="_(* #,##0.000_);_(* \(#,##0.000\);_(* &quot;-&quot;???_);_(@_)"/>
    <numFmt numFmtId="187" formatCode="* _(##,##0.00_);* \(##,##0.00\);* _(&quot;-&quot;?_);_(@_)"/>
    <numFmt numFmtId="188" formatCode="_(* #,##0_);_(* \(#,##0\);_(* &quot;-&quot;?_);_(@_)"/>
    <numFmt numFmtId="189" formatCode="_(* #,##0.00_);_(* \(#,##0.00\);_(* &quot;-&quot;?_);_(@_)"/>
    <numFmt numFmtId="190" formatCode="_(* 0.0\x_);_(* \(0.0\x\);_(* &quot;-&quot;?_);_(@_)"/>
    <numFmt numFmtId="191" formatCode="* _(#,##0.0%_);* \(#,##0.0%\);* _(&quot;-&quot;?_);_(@_)"/>
    <numFmt numFmtId="192" formatCode="* _(#,##0.0%_);* \(#,##0.0%\);* _(&quot;-&quot;??_);_(@_)"/>
    <numFmt numFmtId="193" formatCode="_(#,##0%_);\ \(#,##0%\);\(&quot;-&quot;?_);\(@_)"/>
    <numFmt numFmtId="194" formatCode="_(##,##0_);* \(##,##0\);* _(&quot;-&quot;?_);_(@_)"/>
    <numFmt numFmtId="195" formatCode="_(#,##0%_);* \(#,##0%\);* _(&quot;-&quot;?_);_(@_)"/>
    <numFmt numFmtId="196" formatCode="0.0\x_);\(0.0\x\);@_)"/>
  </numFmts>
  <fonts count="25">
    <font>
      <sz val="11"/>
      <color theme="1"/>
      <name val="Calibri"/>
      <family val="2"/>
      <scheme val="minor"/>
    </font>
    <font>
      <b/>
      <sz val="10"/>
      <color theme="1"/>
      <name val="Arial"/>
      <family val="2"/>
    </font>
    <font>
      <b/>
      <sz val="10"/>
      <color rgb="FF0000FF"/>
      <name val="Arial"/>
      <family val="2"/>
    </font>
    <font>
      <sz val="10"/>
      <color theme="1"/>
      <name val="Arial"/>
      <family val="2"/>
    </font>
    <font>
      <sz val="10"/>
      <color rgb="FF0000FF"/>
      <name val="Arial"/>
      <family val="2"/>
    </font>
    <font>
      <sz val="10"/>
      <name val="Arial"/>
      <family val="2"/>
    </font>
    <font>
      <sz val="10"/>
      <color rgb="FF000000"/>
      <name val="Arial"/>
      <family val="2"/>
    </font>
    <font>
      <sz val="10"/>
      <name val="Times New Roman"/>
      <family val="1"/>
    </font>
    <font>
      <b/>
      <u/>
      <sz val="16"/>
      <name val="Arial"/>
      <family val="2"/>
    </font>
    <font>
      <sz val="10"/>
      <color indexed="9"/>
      <name val="Arial"/>
      <family val="2"/>
    </font>
    <font>
      <i/>
      <sz val="10"/>
      <name val="Arial"/>
      <family val="2"/>
    </font>
    <font>
      <b/>
      <sz val="10"/>
      <color theme="0"/>
      <name val="Arial"/>
      <family val="2"/>
    </font>
    <font>
      <b/>
      <sz val="10"/>
      <name val="Arial"/>
      <family val="2"/>
    </font>
    <font>
      <b/>
      <sz val="16"/>
      <name val="Arial"/>
      <family val="2"/>
    </font>
    <font>
      <sz val="10"/>
      <color indexed="12"/>
      <name val="Arial"/>
      <family val="2"/>
    </font>
    <font>
      <b/>
      <sz val="10"/>
      <color indexed="12"/>
      <name val="Arial"/>
      <family val="2"/>
    </font>
    <font>
      <sz val="9"/>
      <color indexed="0"/>
      <name val="Helvetica"/>
    </font>
    <font>
      <u/>
      <sz val="10"/>
      <name val="Arial"/>
      <family val="2"/>
    </font>
    <font>
      <sz val="10"/>
      <color theme="0"/>
      <name val="Arial"/>
      <family val="2"/>
    </font>
    <font>
      <i/>
      <u/>
      <sz val="10"/>
      <name val="Arial"/>
      <family val="2"/>
    </font>
    <font>
      <b/>
      <sz val="10"/>
      <color indexed="9"/>
      <name val="Arial"/>
      <family val="2"/>
    </font>
    <font>
      <b/>
      <sz val="9"/>
      <color indexed="81"/>
      <name val="Tahoma"/>
      <family val="2"/>
    </font>
    <font>
      <sz val="9"/>
      <color indexed="81"/>
      <name val="Tahoma"/>
      <family val="2"/>
    </font>
    <font>
      <u val="singleAccounting"/>
      <sz val="10"/>
      <name val="Arial"/>
      <family val="2"/>
    </font>
    <font>
      <u/>
      <sz val="10"/>
      <color theme="1"/>
      <name val="Arial"/>
      <family val="2"/>
    </font>
  </fonts>
  <fills count="6">
    <fill>
      <patternFill patternType="none"/>
    </fill>
    <fill>
      <patternFill patternType="gray125"/>
    </fill>
    <fill>
      <patternFill patternType="solid">
        <fgColor theme="7" tint="0.79998168889431442"/>
        <bgColor indexed="64"/>
      </patternFill>
    </fill>
    <fill>
      <patternFill patternType="solid">
        <fgColor rgb="FF084059"/>
        <bgColor indexed="64"/>
      </patternFill>
    </fill>
    <fill>
      <patternFill patternType="solid">
        <fgColor theme="4" tint="0.79998168889431442"/>
        <bgColor indexed="64"/>
      </patternFill>
    </fill>
    <fill>
      <patternFill patternType="solid">
        <fgColor theme="0"/>
        <bgColor indexed="64"/>
      </patternFill>
    </fill>
  </fills>
  <borders count="69">
    <border>
      <left/>
      <right/>
      <top/>
      <bottom/>
      <diagonal/>
    </border>
    <border>
      <left/>
      <right/>
      <top/>
      <bottom style="thin">
        <color indexed="64"/>
      </bottom>
      <diagonal/>
    </border>
    <border>
      <left/>
      <right/>
      <top/>
      <bottom style="thin">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dotted">
        <color indexed="64"/>
      </right>
      <top style="thin">
        <color indexed="64"/>
      </top>
      <bottom style="thin">
        <color indexed="64"/>
      </bottom>
      <diagonal/>
    </border>
    <border>
      <left style="dotted">
        <color auto="1"/>
      </left>
      <right/>
      <top style="thin">
        <color auto="1"/>
      </top>
      <bottom style="thin">
        <color indexed="64"/>
      </bottom>
      <diagonal/>
    </border>
    <border>
      <left style="dotted">
        <color indexed="64"/>
      </left>
      <right style="dotted">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diagonal/>
    </border>
    <border>
      <left/>
      <right style="dotted">
        <color indexed="64"/>
      </right>
      <top/>
      <bottom/>
      <diagonal/>
    </border>
    <border>
      <left style="dotted">
        <color indexed="64"/>
      </left>
      <right/>
      <top style="thin">
        <color indexed="64"/>
      </top>
      <bottom/>
      <diagonal/>
    </border>
    <border>
      <left/>
      <right/>
      <top style="thin">
        <color auto="1"/>
      </top>
      <bottom/>
      <diagonal/>
    </border>
    <border>
      <left/>
      <right style="dotted">
        <color indexed="64"/>
      </right>
      <top style="thin">
        <color auto="1"/>
      </top>
      <bottom/>
      <diagonal/>
    </border>
    <border>
      <left/>
      <right style="thin">
        <color auto="1"/>
      </right>
      <top/>
      <bottom/>
      <diagonal/>
    </border>
    <border>
      <left style="thin">
        <color auto="1"/>
      </left>
      <right/>
      <top/>
      <bottom style="thin">
        <color indexed="64"/>
      </bottom>
      <diagonal/>
    </border>
    <border>
      <left/>
      <right style="dotted">
        <color indexed="64"/>
      </right>
      <top/>
      <bottom style="thin">
        <color indexed="64"/>
      </bottom>
      <diagonal/>
    </border>
    <border>
      <left style="dotted">
        <color indexed="64"/>
      </left>
      <right/>
      <top/>
      <bottom style="thin">
        <color indexed="64"/>
      </bottom>
      <diagonal/>
    </border>
    <border>
      <left/>
      <right style="thin">
        <color auto="1"/>
      </right>
      <top/>
      <bottom style="thin">
        <color indexed="64"/>
      </bottom>
      <diagonal/>
    </border>
    <border>
      <left style="thin">
        <color auto="1"/>
      </left>
      <right/>
      <top/>
      <bottom/>
      <diagonal/>
    </border>
    <border>
      <left style="dotted">
        <color indexed="64"/>
      </left>
      <right/>
      <top/>
      <bottom/>
      <diagonal/>
    </border>
    <border>
      <left style="thin">
        <color auto="1"/>
      </left>
      <right/>
      <top/>
      <bottom style="medium">
        <color auto="1"/>
      </bottom>
      <diagonal/>
    </border>
    <border>
      <left/>
      <right/>
      <top/>
      <bottom style="medium">
        <color indexed="64"/>
      </bottom>
      <diagonal/>
    </border>
    <border>
      <left style="medium">
        <color auto="1"/>
      </left>
      <right/>
      <top style="medium">
        <color auto="1"/>
      </top>
      <bottom/>
      <diagonal/>
    </border>
    <border>
      <left/>
      <right/>
      <top style="medium">
        <color indexed="64"/>
      </top>
      <bottom/>
      <diagonal/>
    </border>
    <border>
      <left/>
      <right style="dotted">
        <color indexed="64"/>
      </right>
      <top style="medium">
        <color auto="1"/>
      </top>
      <bottom/>
      <diagonal/>
    </border>
    <border>
      <left style="dotted">
        <color indexed="64"/>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dotted">
        <color indexed="64"/>
      </right>
      <top/>
      <bottom style="medium">
        <color auto="1"/>
      </bottom>
      <diagonal/>
    </border>
    <border>
      <left style="dotted">
        <color auto="1"/>
      </left>
      <right/>
      <top/>
      <bottom style="medium">
        <color indexed="64"/>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thin">
        <color auto="1"/>
      </right>
      <top style="thin">
        <color auto="1"/>
      </top>
      <bottom/>
      <diagonal/>
    </border>
    <border>
      <left/>
      <right style="medium">
        <color auto="1"/>
      </right>
      <top/>
      <bottom style="thin">
        <color indexed="64"/>
      </bottom>
      <diagonal/>
    </border>
    <border>
      <left/>
      <right style="medium">
        <color auto="1"/>
      </right>
      <top style="thin">
        <color auto="1"/>
      </top>
      <bottom/>
      <diagonal/>
    </border>
    <border>
      <left/>
      <right/>
      <top style="thin">
        <color auto="1"/>
      </top>
      <bottom style="double">
        <color auto="1"/>
      </bottom>
      <diagonal/>
    </border>
    <border>
      <left style="dotted">
        <color indexed="64"/>
      </left>
      <right/>
      <top style="thin">
        <color indexed="64"/>
      </top>
      <bottom style="double">
        <color indexed="64"/>
      </bottom>
      <diagonal/>
    </border>
    <border>
      <left/>
      <right style="dotted">
        <color indexed="64"/>
      </right>
      <top style="thin">
        <color indexed="64"/>
      </top>
      <bottom style="double">
        <color indexed="64"/>
      </bottom>
      <diagonal/>
    </border>
    <border>
      <left/>
      <right style="medium">
        <color auto="1"/>
      </right>
      <top style="thin">
        <color auto="1"/>
      </top>
      <bottom style="double">
        <color auto="1"/>
      </bottom>
      <diagonal/>
    </border>
    <border>
      <left/>
      <right style="dotted">
        <color auto="1"/>
      </right>
      <top style="double">
        <color auto="1"/>
      </top>
      <bottom/>
      <diagonal/>
    </border>
    <border>
      <left/>
      <right style="medium">
        <color auto="1"/>
      </right>
      <top style="double">
        <color auto="1"/>
      </top>
      <bottom/>
      <diagonal/>
    </border>
    <border>
      <left style="medium">
        <color auto="1"/>
      </left>
      <right/>
      <top/>
      <bottom style="thin">
        <color indexed="64"/>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dotted">
        <color indexed="64"/>
      </left>
      <right style="medium">
        <color auto="1"/>
      </right>
      <top/>
      <bottom style="thin">
        <color indexed="64"/>
      </bottom>
      <diagonal/>
    </border>
    <border>
      <left style="dotted">
        <color indexed="64"/>
      </left>
      <right style="medium">
        <color auto="1"/>
      </right>
      <top/>
      <bottom/>
      <diagonal/>
    </border>
    <border>
      <left style="medium">
        <color auto="1"/>
      </left>
      <right/>
      <top style="thin">
        <color indexed="64"/>
      </top>
      <bottom/>
      <diagonal/>
    </border>
    <border>
      <left/>
      <right style="thin">
        <color indexed="64"/>
      </right>
      <top style="medium">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dotted">
        <color auto="1"/>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medium">
        <color rgb="FF000000"/>
      </bottom>
      <diagonal/>
    </border>
    <border>
      <left/>
      <right/>
      <top/>
      <bottom style="medium">
        <color rgb="FF000000"/>
      </bottom>
      <diagonal/>
    </border>
    <border>
      <left style="dotted">
        <color auto="1"/>
      </left>
      <right/>
      <top/>
      <bottom style="medium">
        <color rgb="FF000000"/>
      </bottom>
      <diagonal/>
    </border>
    <border>
      <left/>
      <right style="thin">
        <color rgb="FF000000"/>
      </right>
      <top/>
      <bottom style="medium">
        <color rgb="FF000000"/>
      </bottom>
      <diagonal/>
    </border>
    <border>
      <left/>
      <right style="thin">
        <color rgb="FF000000"/>
      </right>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10">
    <xf numFmtId="0" fontId="0" fillId="0" borderId="0"/>
    <xf numFmtId="0" fontId="7" fillId="0" borderId="0"/>
    <xf numFmtId="0" fontId="7" fillId="0" borderId="0"/>
    <xf numFmtId="0" fontId="7" fillId="0" borderId="0"/>
    <xf numFmtId="0" fontId="5" fillId="0" borderId="0" applyFill="0" applyBorder="0" applyProtection="0">
      <protection locked="0"/>
    </xf>
    <xf numFmtId="9" fontId="5" fillId="0" borderId="0" applyFont="0" applyFill="0" applyBorder="0" applyAlignment="0" applyProtection="0"/>
    <xf numFmtId="0" fontId="5" fillId="0" borderId="0" applyFill="0" applyBorder="0" applyProtection="0">
      <protection locked="0"/>
    </xf>
    <xf numFmtId="0" fontId="16" fillId="0" borderId="0"/>
    <xf numFmtId="0" fontId="5" fillId="0" borderId="0"/>
    <xf numFmtId="0" fontId="5" fillId="0" borderId="0"/>
  </cellStyleXfs>
  <cellXfs count="460">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0" xfId="0" applyFont="1" applyAlignment="1">
      <alignment horizontal="right"/>
    </xf>
    <xf numFmtId="9" fontId="1" fillId="0" borderId="0" xfId="0" applyNumberFormat="1" applyFont="1"/>
    <xf numFmtId="0" fontId="3" fillId="0" borderId="0" xfId="0" applyFont="1"/>
    <xf numFmtId="7" fontId="3" fillId="0" borderId="0" xfId="0" applyNumberFormat="1" applyFont="1"/>
    <xf numFmtId="164" fontId="5" fillId="0" borderId="0" xfId="0" applyNumberFormat="1" applyFont="1"/>
    <xf numFmtId="164" fontId="3" fillId="0" borderId="0" xfId="0" applyNumberFormat="1" applyFont="1"/>
    <xf numFmtId="165" fontId="6" fillId="0" borderId="0" xfId="0" applyNumberFormat="1" applyFont="1"/>
    <xf numFmtId="7" fontId="5" fillId="0" borderId="0" xfId="1" applyNumberFormat="1" applyFont="1" applyAlignment="1">
      <alignment horizontal="right"/>
    </xf>
    <xf numFmtId="9" fontId="3" fillId="0" borderId="0" xfId="0" applyNumberFormat="1" applyFont="1"/>
    <xf numFmtId="0" fontId="5" fillId="0" borderId="0" xfId="1" applyFont="1"/>
    <xf numFmtId="0" fontId="8" fillId="0" borderId="0" xfId="1" applyFont="1"/>
    <xf numFmtId="0" fontId="9" fillId="0" borderId="0" xfId="1" applyFont="1"/>
    <xf numFmtId="43" fontId="9" fillId="0" borderId="0" xfId="1" applyNumberFormat="1" applyFont="1"/>
    <xf numFmtId="0" fontId="10" fillId="0" borderId="0" xfId="1" applyFont="1"/>
    <xf numFmtId="0" fontId="11" fillId="3" borderId="3" xfId="1" applyFont="1" applyFill="1" applyBorder="1" applyAlignment="1">
      <alignment horizontal="centerContinuous"/>
    </xf>
    <xf numFmtId="0" fontId="11" fillId="3" borderId="4" xfId="1" applyFont="1" applyFill="1" applyBorder="1" applyAlignment="1">
      <alignment horizontal="centerContinuous"/>
    </xf>
    <xf numFmtId="0" fontId="11" fillId="3" borderId="4" xfId="2" applyFont="1" applyFill="1" applyBorder="1" applyAlignment="1">
      <alignment horizontal="centerContinuous"/>
    </xf>
    <xf numFmtId="0" fontId="11" fillId="3" borderId="5" xfId="1" applyFont="1" applyFill="1" applyBorder="1" applyAlignment="1">
      <alignment horizontal="centerContinuous"/>
    </xf>
    <xf numFmtId="0" fontId="11" fillId="3" borderId="6" xfId="2" applyFont="1" applyFill="1" applyBorder="1" applyAlignment="1">
      <alignment horizontal="centerContinuous"/>
    </xf>
    <xf numFmtId="0" fontId="11" fillId="3" borderId="7" xfId="1" applyFont="1" applyFill="1" applyBorder="1" applyAlignment="1">
      <alignment horizontal="centerContinuous"/>
    </xf>
    <xf numFmtId="0" fontId="11" fillId="3" borderId="6" xfId="1" applyFont="1" applyFill="1" applyBorder="1" applyAlignment="1">
      <alignment horizontal="centerContinuous"/>
    </xf>
    <xf numFmtId="0" fontId="11" fillId="3" borderId="8" xfId="1" applyFont="1" applyFill="1" applyBorder="1" applyAlignment="1">
      <alignment horizontal="centerContinuous"/>
    </xf>
    <xf numFmtId="0" fontId="11" fillId="3" borderId="9" xfId="1" applyFont="1" applyFill="1" applyBorder="1"/>
    <xf numFmtId="0" fontId="11" fillId="3" borderId="0" xfId="1" applyFont="1" applyFill="1" applyAlignment="1">
      <alignment horizontal="center"/>
    </xf>
    <xf numFmtId="166" fontId="11" fillId="3" borderId="0" xfId="1" applyNumberFormat="1" applyFont="1" applyFill="1" applyAlignment="1">
      <alignment horizontal="center"/>
    </xf>
    <xf numFmtId="0" fontId="11" fillId="3" borderId="0" xfId="3" applyFont="1" applyFill="1" applyAlignment="1">
      <alignment horizontal="center"/>
    </xf>
    <xf numFmtId="0" fontId="11" fillId="3" borderId="0" xfId="2" applyFont="1" applyFill="1" applyAlignment="1">
      <alignment horizontal="centerContinuous"/>
    </xf>
    <xf numFmtId="0" fontId="11" fillId="3" borderId="10" xfId="3" applyFont="1" applyFill="1" applyBorder="1" applyAlignment="1">
      <alignment horizontal="center"/>
    </xf>
    <xf numFmtId="0" fontId="11" fillId="3" borderId="11" xfId="2" applyFont="1" applyFill="1" applyBorder="1" applyAlignment="1">
      <alignment horizontal="centerContinuous"/>
    </xf>
    <xf numFmtId="0" fontId="11" fillId="3" borderId="0" xfId="1" applyFont="1" applyFill="1" applyAlignment="1">
      <alignment horizontal="centerContinuous"/>
    </xf>
    <xf numFmtId="0" fontId="11" fillId="3" borderId="11" xfId="1" applyFont="1" applyFill="1" applyBorder="1" applyAlignment="1">
      <alignment horizontal="center"/>
    </xf>
    <xf numFmtId="0" fontId="11" fillId="3" borderId="12" xfId="1" applyFont="1" applyFill="1" applyBorder="1" applyAlignment="1">
      <alignment horizontal="center"/>
    </xf>
    <xf numFmtId="0" fontId="11" fillId="3" borderId="13" xfId="1" applyFont="1" applyFill="1" applyBorder="1" applyAlignment="1">
      <alignment horizontal="center"/>
    </xf>
    <xf numFmtId="0" fontId="11" fillId="3" borderId="12" xfId="2" applyFont="1" applyFill="1" applyBorder="1" applyAlignment="1">
      <alignment horizontal="centerContinuous"/>
    </xf>
    <xf numFmtId="0" fontId="11" fillId="3" borderId="14" xfId="1" applyFont="1" applyFill="1" applyBorder="1" applyAlignment="1">
      <alignment horizontal="centerContinuous"/>
    </xf>
    <xf numFmtId="0" fontId="11" fillId="3" borderId="15" xfId="1" applyFont="1" applyFill="1" applyBorder="1" applyAlignment="1">
      <alignment horizontal="center"/>
    </xf>
    <xf numFmtId="0" fontId="11" fillId="3" borderId="1" xfId="1" applyFont="1" applyFill="1" applyBorder="1" applyAlignment="1">
      <alignment horizontal="center"/>
    </xf>
    <xf numFmtId="166" fontId="11" fillId="3" borderId="1" xfId="1" applyNumberFormat="1" applyFont="1" applyFill="1" applyBorder="1" applyAlignment="1">
      <alignment horizontal="center"/>
    </xf>
    <xf numFmtId="0" fontId="11" fillId="3" borderId="1" xfId="3" applyFont="1" applyFill="1" applyBorder="1" applyAlignment="1">
      <alignment horizontal="center"/>
    </xf>
    <xf numFmtId="0" fontId="11" fillId="3" borderId="16" xfId="3" applyFont="1" applyFill="1" applyBorder="1" applyAlignment="1">
      <alignment horizontal="center"/>
    </xf>
    <xf numFmtId="0" fontId="11" fillId="3" borderId="17" xfId="1" applyFont="1" applyFill="1" applyBorder="1" applyAlignment="1">
      <alignment horizontal="center"/>
    </xf>
    <xf numFmtId="0" fontId="11" fillId="3" borderId="16" xfId="1" applyFont="1" applyFill="1" applyBorder="1" applyAlignment="1">
      <alignment horizontal="center"/>
    </xf>
    <xf numFmtId="0" fontId="11" fillId="3" borderId="18" xfId="1" applyFont="1" applyFill="1" applyBorder="1" applyAlignment="1">
      <alignment horizontal="center"/>
    </xf>
    <xf numFmtId="0" fontId="5" fillId="0" borderId="19" xfId="1" applyFont="1" applyBorder="1"/>
    <xf numFmtId="0" fontId="5" fillId="0" borderId="0" xfId="1" applyFont="1" applyAlignment="1">
      <alignment horizontal="center"/>
    </xf>
    <xf numFmtId="14" fontId="5" fillId="0" borderId="0" xfId="1" applyNumberFormat="1" applyFont="1" applyAlignment="1">
      <alignment horizontal="center"/>
    </xf>
    <xf numFmtId="9" fontId="5" fillId="0" borderId="0" xfId="1" applyNumberFormat="1" applyFont="1" applyAlignment="1">
      <alignment horizontal="center"/>
    </xf>
    <xf numFmtId="37" fontId="5" fillId="0" borderId="0" xfId="1" applyNumberFormat="1" applyFont="1" applyAlignment="1">
      <alignment horizontal="center"/>
    </xf>
    <xf numFmtId="39" fontId="5" fillId="0" borderId="0" xfId="1" applyNumberFormat="1" applyFont="1" applyAlignment="1">
      <alignment horizontal="center"/>
    </xf>
    <xf numFmtId="9" fontId="5" fillId="0" borderId="0" xfId="4" applyNumberFormat="1" applyFill="1" applyBorder="1" applyAlignment="1" applyProtection="1">
      <alignment horizontal="center"/>
    </xf>
    <xf numFmtId="9" fontId="5" fillId="0" borderId="10" xfId="4" applyNumberFormat="1" applyFill="1" applyBorder="1" applyAlignment="1" applyProtection="1">
      <alignment horizontal="center"/>
    </xf>
    <xf numFmtId="167" fontId="5" fillId="0" borderId="20" xfId="4" applyNumberFormat="1" applyFill="1" applyBorder="1" applyAlignment="1" applyProtection="1">
      <alignment horizontal="center"/>
    </xf>
    <xf numFmtId="167" fontId="5" fillId="0" borderId="0" xfId="1" applyNumberFormat="1" applyFont="1" applyAlignment="1">
      <alignment horizontal="center"/>
    </xf>
    <xf numFmtId="167" fontId="5" fillId="0" borderId="20" xfId="1" applyNumberFormat="1" applyFont="1" applyBorder="1" applyAlignment="1">
      <alignment horizontal="center"/>
    </xf>
    <xf numFmtId="167" fontId="5" fillId="0" borderId="10" xfId="1" applyNumberFormat="1" applyFont="1" applyBorder="1" applyAlignment="1">
      <alignment horizontal="center"/>
    </xf>
    <xf numFmtId="9" fontId="5" fillId="0" borderId="14" xfId="1" applyNumberFormat="1" applyFont="1" applyBorder="1" applyAlignment="1">
      <alignment horizontal="center"/>
    </xf>
    <xf numFmtId="9" fontId="5" fillId="0" borderId="10" xfId="1" applyNumberFormat="1" applyFont="1" applyBorder="1" applyAlignment="1">
      <alignment horizontal="center"/>
    </xf>
    <xf numFmtId="0" fontId="5" fillId="0" borderId="21" xfId="1" applyFont="1" applyBorder="1"/>
    <xf numFmtId="37" fontId="5" fillId="0" borderId="22" xfId="1" applyNumberFormat="1" applyFont="1" applyBorder="1" applyAlignment="1">
      <alignment horizontal="center"/>
    </xf>
    <xf numFmtId="4" fontId="12" fillId="4" borderId="23" xfId="5" applyNumberFormat="1" applyFont="1" applyFill="1" applyBorder="1" applyAlignment="1">
      <alignment horizontal="left"/>
    </xf>
    <xf numFmtId="168" fontId="5" fillId="4" borderId="24" xfId="1" applyNumberFormat="1" applyFont="1" applyFill="1" applyBorder="1" applyAlignment="1">
      <alignment horizontal="center"/>
    </xf>
    <xf numFmtId="7" fontId="12" fillId="4" borderId="24" xfId="1" applyNumberFormat="1" applyFont="1" applyFill="1" applyBorder="1" applyAlignment="1">
      <alignment horizontal="center"/>
    </xf>
    <xf numFmtId="37" fontId="12" fillId="4" borderId="24" xfId="1" applyNumberFormat="1" applyFont="1" applyFill="1" applyBorder="1" applyAlignment="1">
      <alignment horizontal="center"/>
    </xf>
    <xf numFmtId="39" fontId="12" fillId="4" borderId="24" xfId="1" applyNumberFormat="1" applyFont="1" applyFill="1" applyBorder="1" applyAlignment="1">
      <alignment horizontal="center"/>
    </xf>
    <xf numFmtId="9" fontId="12" fillId="4" borderId="24" xfId="1" applyNumberFormat="1" applyFont="1" applyFill="1" applyBorder="1" applyAlignment="1">
      <alignment horizontal="center"/>
    </xf>
    <xf numFmtId="9" fontId="12" fillId="4" borderId="25" xfId="1" applyNumberFormat="1" applyFont="1" applyFill="1" applyBorder="1" applyAlignment="1">
      <alignment horizontal="center"/>
    </xf>
    <xf numFmtId="167" fontId="12" fillId="4" borderId="26" xfId="1" applyNumberFormat="1" applyFont="1" applyFill="1" applyBorder="1" applyAlignment="1">
      <alignment horizontal="center"/>
    </xf>
    <xf numFmtId="167" fontId="12" fillId="4" borderId="24" xfId="1" applyNumberFormat="1" applyFont="1" applyFill="1" applyBorder="1" applyAlignment="1">
      <alignment horizontal="center"/>
    </xf>
    <xf numFmtId="167" fontId="12" fillId="4" borderId="25" xfId="1" applyNumberFormat="1" applyFont="1" applyFill="1" applyBorder="1" applyAlignment="1">
      <alignment horizontal="center"/>
    </xf>
    <xf numFmtId="9" fontId="12" fillId="4" borderId="27" xfId="1" applyNumberFormat="1" applyFont="1" applyFill="1" applyBorder="1" applyAlignment="1">
      <alignment horizontal="center"/>
    </xf>
    <xf numFmtId="4" fontId="12" fillId="4" borderId="28" xfId="5" applyNumberFormat="1" applyFont="1" applyFill="1" applyBorder="1" applyAlignment="1">
      <alignment horizontal="left"/>
    </xf>
    <xf numFmtId="168" fontId="5" fillId="4" borderId="0" xfId="1" applyNumberFormat="1" applyFont="1" applyFill="1" applyAlignment="1">
      <alignment horizontal="center"/>
    </xf>
    <xf numFmtId="7" fontId="12" fillId="4" borderId="0" xfId="1" applyNumberFormat="1" applyFont="1" applyFill="1" applyAlignment="1">
      <alignment horizontal="center"/>
    </xf>
    <xf numFmtId="37" fontId="12" fillId="4" borderId="0" xfId="1" applyNumberFormat="1" applyFont="1" applyFill="1" applyAlignment="1">
      <alignment horizontal="center"/>
    </xf>
    <xf numFmtId="39" fontId="12" fillId="4" borderId="0" xfId="1" applyNumberFormat="1" applyFont="1" applyFill="1" applyAlignment="1">
      <alignment horizontal="center"/>
    </xf>
    <xf numFmtId="9" fontId="12" fillId="4" borderId="0" xfId="1" applyNumberFormat="1" applyFont="1" applyFill="1" applyAlignment="1">
      <alignment horizontal="center"/>
    </xf>
    <xf numFmtId="9" fontId="12" fillId="4" borderId="10" xfId="1" applyNumberFormat="1" applyFont="1" applyFill="1" applyBorder="1" applyAlignment="1">
      <alignment horizontal="center"/>
    </xf>
    <xf numFmtId="167" fontId="12" fillId="4" borderId="20" xfId="1" applyNumberFormat="1" applyFont="1" applyFill="1" applyBorder="1" applyAlignment="1">
      <alignment horizontal="center"/>
    </xf>
    <xf numFmtId="167" fontId="12" fillId="4" borderId="0" xfId="1" applyNumberFormat="1" applyFont="1" applyFill="1" applyAlignment="1">
      <alignment horizontal="center"/>
    </xf>
    <xf numFmtId="167" fontId="12" fillId="4" borderId="10" xfId="1" applyNumberFormat="1" applyFont="1" applyFill="1" applyBorder="1" applyAlignment="1">
      <alignment horizontal="center"/>
    </xf>
    <xf numFmtId="9" fontId="12" fillId="4" borderId="29" xfId="1" applyNumberFormat="1" applyFont="1" applyFill="1" applyBorder="1" applyAlignment="1">
      <alignment horizontal="center"/>
    </xf>
    <xf numFmtId="4" fontId="5" fillId="0" borderId="28" xfId="1" applyNumberFormat="1" applyFont="1" applyBorder="1"/>
    <xf numFmtId="3" fontId="5" fillId="0" borderId="0" xfId="1" applyNumberFormat="1" applyFont="1" applyAlignment="1">
      <alignment horizontal="center"/>
    </xf>
    <xf numFmtId="2" fontId="5" fillId="0" borderId="0" xfId="1" applyNumberFormat="1" applyFont="1" applyAlignment="1">
      <alignment horizontal="center"/>
    </xf>
    <xf numFmtId="167" fontId="5" fillId="0" borderId="0" xfId="5" applyNumberFormat="1" applyFont="1" applyBorder="1" applyAlignment="1">
      <alignment horizontal="center"/>
    </xf>
    <xf numFmtId="9" fontId="5" fillId="0" borderId="29" xfId="1" applyNumberFormat="1" applyFont="1" applyBorder="1" applyAlignment="1">
      <alignment horizontal="center"/>
    </xf>
    <xf numFmtId="4" fontId="5" fillId="0" borderId="30" xfId="5" applyNumberFormat="1" applyFont="1" applyFill="1" applyBorder="1" applyAlignment="1">
      <alignment horizontal="left"/>
    </xf>
    <xf numFmtId="0" fontId="5" fillId="0" borderId="22" xfId="1" applyFont="1" applyBorder="1"/>
    <xf numFmtId="3" fontId="5" fillId="0" borderId="22" xfId="1" applyNumberFormat="1" applyFont="1" applyBorder="1" applyAlignment="1">
      <alignment horizontal="center"/>
    </xf>
    <xf numFmtId="2" fontId="5" fillId="0" borderId="22" xfId="1" applyNumberFormat="1" applyFont="1" applyBorder="1" applyAlignment="1">
      <alignment horizontal="center"/>
    </xf>
    <xf numFmtId="9" fontId="5" fillId="0" borderId="22" xfId="1" applyNumberFormat="1" applyFont="1" applyBorder="1" applyAlignment="1">
      <alignment horizontal="center"/>
    </xf>
    <xf numFmtId="9" fontId="5" fillId="0" borderId="31" xfId="1" applyNumberFormat="1" applyFont="1" applyBorder="1" applyAlignment="1">
      <alignment horizontal="center"/>
    </xf>
    <xf numFmtId="167" fontId="5" fillId="0" borderId="32" xfId="1" applyNumberFormat="1" applyFont="1" applyBorder="1" applyAlignment="1">
      <alignment horizontal="center"/>
    </xf>
    <xf numFmtId="167" fontId="5" fillId="0" borderId="22" xfId="1" applyNumberFormat="1" applyFont="1" applyBorder="1" applyAlignment="1">
      <alignment horizontal="center"/>
    </xf>
    <xf numFmtId="167" fontId="5" fillId="0" borderId="31" xfId="1" applyNumberFormat="1" applyFont="1" applyBorder="1" applyAlignment="1">
      <alignment horizontal="center"/>
    </xf>
    <xf numFmtId="9" fontId="5" fillId="0" borderId="33" xfId="1" applyNumberFormat="1" applyFont="1" applyBorder="1" applyAlignment="1">
      <alignment horizontal="center"/>
    </xf>
    <xf numFmtId="0" fontId="12" fillId="2" borderId="34" xfId="1" applyFont="1" applyFill="1" applyBorder="1"/>
    <xf numFmtId="0" fontId="12" fillId="2" borderId="35" xfId="1" applyFont="1" applyFill="1" applyBorder="1" applyAlignment="1">
      <alignment horizontal="center"/>
    </xf>
    <xf numFmtId="14" fontId="12" fillId="2" borderId="35" xfId="1" applyNumberFormat="1" applyFont="1" applyFill="1" applyBorder="1" applyAlignment="1">
      <alignment horizontal="center"/>
    </xf>
    <xf numFmtId="9" fontId="12" fillId="2" borderId="35" xfId="1" applyNumberFormat="1" applyFont="1" applyFill="1" applyBorder="1" applyAlignment="1">
      <alignment horizontal="center"/>
    </xf>
    <xf numFmtId="37" fontId="12" fillId="2" borderId="35" xfId="1" applyNumberFormat="1" applyFont="1" applyFill="1" applyBorder="1" applyAlignment="1">
      <alignment horizontal="center"/>
    </xf>
    <xf numFmtId="37" fontId="2" fillId="2" borderId="35" xfId="1" applyNumberFormat="1" applyFont="1" applyFill="1" applyBorder="1" applyAlignment="1">
      <alignment horizontal="center"/>
    </xf>
    <xf numFmtId="39" fontId="2" fillId="2" borderId="35" xfId="1" applyNumberFormat="1" applyFont="1" applyFill="1" applyBorder="1" applyAlignment="1">
      <alignment horizontal="center"/>
    </xf>
    <xf numFmtId="9" fontId="2" fillId="2" borderId="35" xfId="1" applyNumberFormat="1" applyFont="1" applyFill="1" applyBorder="1" applyAlignment="1">
      <alignment horizontal="center"/>
    </xf>
    <xf numFmtId="39" fontId="2" fillId="2" borderId="36" xfId="1" applyNumberFormat="1" applyFont="1" applyFill="1" applyBorder="1" applyAlignment="1">
      <alignment horizontal="center"/>
    </xf>
    <xf numFmtId="169" fontId="5" fillId="0" borderId="0" xfId="1" applyNumberFormat="1" applyFont="1"/>
    <xf numFmtId="38" fontId="5" fillId="0" borderId="0" xfId="1" applyNumberFormat="1" applyFont="1"/>
    <xf numFmtId="0" fontId="10" fillId="0" borderId="0" xfId="3" applyFont="1"/>
    <xf numFmtId="0" fontId="13" fillId="0" borderId="0" xfId="2" applyFont="1"/>
    <xf numFmtId="0" fontId="5" fillId="0" borderId="0" xfId="0" applyFont="1"/>
    <xf numFmtId="0" fontId="12" fillId="0" borderId="0" xfId="0" applyFont="1" applyAlignment="1">
      <alignment horizontal="left"/>
    </xf>
    <xf numFmtId="170" fontId="10" fillId="0" borderId="0" xfId="2" applyNumberFormat="1" applyFont="1"/>
    <xf numFmtId="41" fontId="5" fillId="0" borderId="0" xfId="0" applyNumberFormat="1" applyFont="1"/>
    <xf numFmtId="0" fontId="11" fillId="3" borderId="3" xfId="0" applyFont="1" applyFill="1" applyBorder="1" applyAlignment="1">
      <alignment horizontal="centerContinuous"/>
    </xf>
    <xf numFmtId="0" fontId="11" fillId="3" borderId="4" xfId="0" applyFont="1" applyFill="1" applyBorder="1" applyAlignment="1">
      <alignment horizontal="centerContinuous"/>
    </xf>
    <xf numFmtId="0" fontId="11" fillId="3" borderId="8" xfId="0" applyFont="1" applyFill="1" applyBorder="1" applyAlignment="1">
      <alignment horizontal="centerContinuous"/>
    </xf>
    <xf numFmtId="0" fontId="11" fillId="3" borderId="37" xfId="0" applyFont="1" applyFill="1" applyBorder="1" applyAlignment="1">
      <alignment horizontal="centerContinuous"/>
    </xf>
    <xf numFmtId="0" fontId="11" fillId="3" borderId="38" xfId="0" applyFont="1" applyFill="1" applyBorder="1" applyAlignment="1">
      <alignment horizontal="centerContinuous"/>
    </xf>
    <xf numFmtId="0" fontId="11" fillId="3" borderId="39" xfId="0" applyFont="1" applyFill="1" applyBorder="1" applyAlignment="1">
      <alignment horizontal="centerContinuous"/>
    </xf>
    <xf numFmtId="0" fontId="5" fillId="0" borderId="19" xfId="0" applyFont="1" applyBorder="1"/>
    <xf numFmtId="0" fontId="14" fillId="0" borderId="0" xfId="0" applyFont="1" applyAlignment="1">
      <alignment horizontal="right"/>
    </xf>
    <xf numFmtId="9" fontId="14" fillId="0" borderId="28" xfId="0" applyNumberFormat="1" applyFont="1" applyBorder="1"/>
    <xf numFmtId="0" fontId="14" fillId="0" borderId="0" xfId="0" applyFont="1"/>
    <xf numFmtId="0" fontId="12" fillId="0" borderId="0" xfId="1" applyFont="1" applyAlignment="1">
      <alignment horizontal="center"/>
    </xf>
    <xf numFmtId="0" fontId="5" fillId="0" borderId="29" xfId="0" applyFont="1" applyBorder="1"/>
    <xf numFmtId="171" fontId="14" fillId="0" borderId="0" xfId="1" applyNumberFormat="1" applyFont="1" applyAlignment="1">
      <alignment horizontal="right"/>
    </xf>
    <xf numFmtId="172" fontId="14" fillId="2" borderId="14" xfId="4" applyNumberFormat="1" applyFont="1" applyFill="1" applyBorder="1" applyAlignment="1" applyProtection="1">
      <alignment horizontal="right"/>
    </xf>
    <xf numFmtId="0" fontId="14" fillId="0" borderId="28" xfId="0" applyFont="1" applyBorder="1"/>
    <xf numFmtId="0" fontId="12" fillId="0" borderId="0" xfId="1" applyFont="1"/>
    <xf numFmtId="0" fontId="12" fillId="0" borderId="1" xfId="1" applyFont="1" applyBorder="1" applyAlignment="1">
      <alignment horizontal="centerContinuous"/>
    </xf>
    <xf numFmtId="0" fontId="12" fillId="0" borderId="29" xfId="1" applyFont="1" applyBorder="1" applyAlignment="1">
      <alignment horizontal="center"/>
    </xf>
    <xf numFmtId="0" fontId="10" fillId="0" borderId="0" xfId="0" applyFont="1"/>
    <xf numFmtId="172" fontId="5" fillId="0" borderId="14" xfId="4" applyNumberFormat="1" applyFill="1" applyBorder="1" applyProtection="1"/>
    <xf numFmtId="166" fontId="14" fillId="2" borderId="14" xfId="0" applyNumberFormat="1" applyFont="1" applyFill="1" applyBorder="1"/>
    <xf numFmtId="0" fontId="5" fillId="0" borderId="28" xfId="0" applyFont="1" applyBorder="1"/>
    <xf numFmtId="0" fontId="15" fillId="0" borderId="0" xfId="0" applyFont="1" applyAlignment="1">
      <alignment horizontal="left"/>
    </xf>
    <xf numFmtId="173" fontId="12" fillId="0" borderId="0" xfId="6" applyNumberFormat="1" applyFont="1" applyFill="1" applyBorder="1" applyAlignment="1" applyProtection="1">
      <alignment horizontal="center"/>
    </xf>
    <xf numFmtId="173" fontId="12" fillId="0" borderId="1" xfId="6" applyNumberFormat="1" applyFont="1" applyFill="1" applyBorder="1" applyAlignment="1" applyProtection="1">
      <alignment horizontal="center"/>
    </xf>
    <xf numFmtId="171" fontId="12" fillId="0" borderId="1" xfId="1" applyNumberFormat="1" applyFont="1" applyBorder="1" applyAlignment="1">
      <alignment horizontal="center"/>
    </xf>
    <xf numFmtId="171" fontId="15" fillId="2" borderId="1" xfId="1" applyNumberFormat="1" applyFont="1" applyFill="1" applyBorder="1" applyAlignment="1">
      <alignment horizontal="center"/>
    </xf>
    <xf numFmtId="14" fontId="12" fillId="0" borderId="41" xfId="1" applyNumberFormat="1" applyFont="1" applyBorder="1" applyAlignment="1">
      <alignment horizontal="center"/>
    </xf>
    <xf numFmtId="174" fontId="14" fillId="2" borderId="0" xfId="4" applyNumberFormat="1" applyFont="1" applyFill="1" applyProtection="1"/>
    <xf numFmtId="174" fontId="14" fillId="0" borderId="14" xfId="4" applyNumberFormat="1" applyFont="1" applyFill="1" applyBorder="1" applyAlignment="1" applyProtection="1">
      <alignment horizontal="right"/>
    </xf>
    <xf numFmtId="175" fontId="14" fillId="0" borderId="0" xfId="0" applyNumberFormat="1" applyFont="1"/>
    <xf numFmtId="0" fontId="12" fillId="0" borderId="28" xfId="1" applyFont="1" applyBorder="1"/>
    <xf numFmtId="0" fontId="12" fillId="0" borderId="0" xfId="0" applyFont="1"/>
    <xf numFmtId="176" fontId="15" fillId="0" borderId="0" xfId="4" applyNumberFormat="1" applyFont="1" applyFill="1" applyBorder="1" applyProtection="1"/>
    <xf numFmtId="176" fontId="15" fillId="2" borderId="0" xfId="4" applyNumberFormat="1" applyFont="1" applyFill="1" applyBorder="1" applyProtection="1"/>
    <xf numFmtId="176" fontId="15" fillId="2" borderId="11" xfId="4" applyNumberFormat="1" applyFont="1" applyFill="1" applyBorder="1" applyProtection="1"/>
    <xf numFmtId="176" fontId="15" fillId="2" borderId="13" xfId="4" applyNumberFormat="1" applyFont="1" applyFill="1" applyBorder="1" applyProtection="1"/>
    <xf numFmtId="177" fontId="12" fillId="0" borderId="29" xfId="4" applyNumberFormat="1" applyFont="1" applyFill="1" applyBorder="1" applyAlignment="1" applyProtection="1">
      <alignment horizontal="right"/>
    </xf>
    <xf numFmtId="172" fontId="14" fillId="2" borderId="0" xfId="4" applyNumberFormat="1" applyFont="1" applyFill="1" applyProtection="1"/>
    <xf numFmtId="0" fontId="5" fillId="0" borderId="28" xfId="1" applyFont="1" applyBorder="1"/>
    <xf numFmtId="178" fontId="14" fillId="0" borderId="0" xfId="7" applyNumberFormat="1" applyFont="1"/>
    <xf numFmtId="178" fontId="14" fillId="2" borderId="1" xfId="7" applyNumberFormat="1" applyFont="1" applyFill="1" applyBorder="1"/>
    <xf numFmtId="178" fontId="14" fillId="2" borderId="17" xfId="4" applyNumberFormat="1" applyFont="1" applyFill="1" applyBorder="1" applyProtection="1"/>
    <xf numFmtId="178" fontId="14" fillId="2" borderId="16" xfId="4" applyNumberFormat="1" applyFont="1" applyFill="1" applyBorder="1" applyProtection="1"/>
    <xf numFmtId="178" fontId="5" fillId="0" borderId="41" xfId="4" applyNumberFormat="1" applyFill="1" applyBorder="1" applyAlignment="1" applyProtection="1">
      <alignment horizontal="right"/>
    </xf>
    <xf numFmtId="41" fontId="14" fillId="0" borderId="0" xfId="1" applyNumberFormat="1" applyFont="1"/>
    <xf numFmtId="0" fontId="12" fillId="0" borderId="19" xfId="1" applyFont="1" applyBorder="1"/>
    <xf numFmtId="172" fontId="12" fillId="0" borderId="14" xfId="4" applyNumberFormat="1" applyFont="1" applyFill="1" applyBorder="1" applyProtection="1"/>
    <xf numFmtId="0" fontId="12" fillId="0" borderId="28" xfId="1" applyFont="1" applyBorder="1" applyAlignment="1">
      <alignment horizontal="left" indent="1"/>
    </xf>
    <xf numFmtId="177" fontId="12" fillId="0" borderId="0" xfId="4" applyNumberFormat="1" applyFont="1" applyFill="1" applyBorder="1" applyAlignment="1" applyProtection="1">
      <alignment horizontal="right"/>
    </xf>
    <xf numFmtId="177" fontId="12" fillId="0" borderId="20" xfId="4" applyNumberFormat="1" applyFont="1" applyFill="1" applyBorder="1" applyAlignment="1" applyProtection="1">
      <alignment horizontal="right"/>
    </xf>
    <xf numFmtId="177" fontId="12" fillId="0" borderId="10" xfId="4" applyNumberFormat="1" applyFont="1" applyFill="1" applyBorder="1" applyAlignment="1" applyProtection="1">
      <alignment horizontal="right"/>
    </xf>
    <xf numFmtId="0" fontId="5" fillId="0" borderId="19" xfId="8" applyBorder="1"/>
    <xf numFmtId="178" fontId="5" fillId="0" borderId="18" xfId="4" applyNumberFormat="1" applyFill="1" applyBorder="1" applyProtection="1"/>
    <xf numFmtId="167" fontId="5" fillId="0" borderId="0" xfId="0" applyNumberFormat="1" applyFont="1"/>
    <xf numFmtId="178" fontId="14" fillId="2" borderId="0" xfId="7" applyNumberFormat="1" applyFont="1" applyFill="1"/>
    <xf numFmtId="178" fontId="14" fillId="2" borderId="20" xfId="4" applyNumberFormat="1" applyFont="1" applyFill="1" applyBorder="1" applyProtection="1"/>
    <xf numFmtId="178" fontId="14" fillId="2" borderId="10" xfId="4" applyNumberFormat="1" applyFont="1" applyFill="1" applyBorder="1" applyProtection="1"/>
    <xf numFmtId="178" fontId="5" fillId="0" borderId="29" xfId="4" applyNumberFormat="1" applyFill="1" applyBorder="1" applyAlignment="1" applyProtection="1">
      <alignment horizontal="right"/>
    </xf>
    <xf numFmtId="0" fontId="12" fillId="0" borderId="19" xfId="0" applyFont="1" applyBorder="1" applyAlignment="1">
      <alignment horizontal="left" indent="1"/>
    </xf>
    <xf numFmtId="177" fontId="12" fillId="0" borderId="14" xfId="4" applyNumberFormat="1" applyFont="1" applyFill="1" applyBorder="1" applyProtection="1"/>
    <xf numFmtId="0" fontId="5" fillId="5" borderId="19" xfId="0" applyFont="1" applyFill="1" applyBorder="1"/>
    <xf numFmtId="0" fontId="5" fillId="5" borderId="0" xfId="0" applyFont="1" applyFill="1"/>
    <xf numFmtId="173" fontId="12" fillId="5" borderId="0" xfId="6" applyNumberFormat="1" applyFont="1" applyFill="1" applyBorder="1" applyAlignment="1" applyProtection="1">
      <alignment horizontal="center"/>
    </xf>
    <xf numFmtId="9" fontId="14" fillId="2" borderId="14" xfId="0" applyNumberFormat="1" applyFont="1" applyFill="1" applyBorder="1" applyAlignment="1">
      <alignment horizontal="center"/>
    </xf>
    <xf numFmtId="177" fontId="12" fillId="0" borderId="12" xfId="4" applyNumberFormat="1" applyFont="1" applyFill="1" applyBorder="1" applyAlignment="1" applyProtection="1">
      <alignment horizontal="right"/>
    </xf>
    <xf numFmtId="177" fontId="12" fillId="0" borderId="11" xfId="4" applyNumberFormat="1" applyFont="1" applyFill="1" applyBorder="1" applyAlignment="1" applyProtection="1">
      <alignment horizontal="right"/>
    </xf>
    <xf numFmtId="177" fontId="12" fillId="0" borderId="13" xfId="4" applyNumberFormat="1" applyFont="1" applyFill="1" applyBorder="1" applyAlignment="1" applyProtection="1">
      <alignment horizontal="right"/>
    </xf>
    <xf numFmtId="177" fontId="12" fillId="0" borderId="42" xfId="4" applyNumberFormat="1" applyFont="1" applyFill="1" applyBorder="1" applyAlignment="1" applyProtection="1">
      <alignment horizontal="right"/>
    </xf>
    <xf numFmtId="0" fontId="5" fillId="0" borderId="14" xfId="0" applyFont="1" applyBorder="1"/>
    <xf numFmtId="178" fontId="14" fillId="0" borderId="0" xfId="4" applyNumberFormat="1" applyFont="1" applyFill="1" applyBorder="1" applyAlignment="1" applyProtection="1">
      <alignment horizontal="right"/>
    </xf>
    <xf numFmtId="178" fontId="14" fillId="2" borderId="0" xfId="4" applyNumberFormat="1" applyFont="1" applyFill="1" applyBorder="1" applyAlignment="1" applyProtection="1">
      <alignment horizontal="right"/>
    </xf>
    <xf numFmtId="178" fontId="14" fillId="2" borderId="20" xfId="4" applyNumberFormat="1" applyFont="1" applyFill="1" applyBorder="1" applyAlignment="1" applyProtection="1">
      <alignment horizontal="right"/>
    </xf>
    <xf numFmtId="178" fontId="14" fillId="2" borderId="10" xfId="4" applyNumberFormat="1" applyFont="1" applyFill="1" applyBorder="1" applyAlignment="1" applyProtection="1">
      <alignment horizontal="right"/>
    </xf>
    <xf numFmtId="178" fontId="14" fillId="2" borderId="14" xfId="4" applyNumberFormat="1" applyFont="1" applyFill="1" applyBorder="1" applyAlignment="1" applyProtection="1">
      <alignment horizontal="right"/>
    </xf>
    <xf numFmtId="178" fontId="14" fillId="2" borderId="1" xfId="4" applyNumberFormat="1" applyFont="1" applyFill="1" applyBorder="1" applyAlignment="1" applyProtection="1">
      <alignment horizontal="right"/>
    </xf>
    <xf numFmtId="178" fontId="14" fillId="2" borderId="17" xfId="4" applyNumberFormat="1" applyFont="1" applyFill="1" applyBorder="1" applyAlignment="1" applyProtection="1">
      <alignment horizontal="right"/>
    </xf>
    <xf numFmtId="178" fontId="14" fillId="2" borderId="16" xfId="4" applyNumberFormat="1" applyFont="1" applyFill="1" applyBorder="1" applyAlignment="1" applyProtection="1">
      <alignment horizontal="right"/>
    </xf>
    <xf numFmtId="0" fontId="5" fillId="0" borderId="28" xfId="8" applyBorder="1"/>
    <xf numFmtId="0" fontId="17" fillId="5" borderId="19" xfId="0" applyFont="1" applyFill="1" applyBorder="1"/>
    <xf numFmtId="180" fontId="14" fillId="5" borderId="0" xfId="1" applyNumberFormat="1" applyFont="1" applyFill="1"/>
    <xf numFmtId="177" fontId="14" fillId="0" borderId="0" xfId="4" applyNumberFormat="1" applyFont="1" applyFill="1" applyBorder="1" applyAlignment="1" applyProtection="1">
      <alignment horizontal="right"/>
    </xf>
    <xf numFmtId="177" fontId="14" fillId="0" borderId="14" xfId="4" applyNumberFormat="1" applyFont="1" applyFill="1" applyBorder="1" applyProtection="1"/>
    <xf numFmtId="178" fontId="5" fillId="0" borderId="29" xfId="4" applyNumberFormat="1" applyFill="1" applyBorder="1" applyProtection="1"/>
    <xf numFmtId="177" fontId="12" fillId="0" borderId="8" xfId="4" applyNumberFormat="1" applyFont="1" applyFill="1" applyBorder="1" applyProtection="1"/>
    <xf numFmtId="0" fontId="5" fillId="0" borderId="15" xfId="0" applyFont="1" applyBorder="1"/>
    <xf numFmtId="0" fontId="5" fillId="0" borderId="1" xfId="0" applyFont="1" applyBorder="1"/>
    <xf numFmtId="0" fontId="5" fillId="0" borderId="18" xfId="0" applyFont="1" applyBorder="1"/>
    <xf numFmtId="177" fontId="12" fillId="0" borderId="43" xfId="4" applyNumberFormat="1" applyFont="1" applyFill="1" applyBorder="1" applyAlignment="1" applyProtection="1">
      <alignment horizontal="right"/>
    </xf>
    <xf numFmtId="177" fontId="12" fillId="0" borderId="44" xfId="4" applyNumberFormat="1" applyFont="1" applyFill="1" applyBorder="1" applyAlignment="1" applyProtection="1">
      <alignment horizontal="right"/>
    </xf>
    <xf numFmtId="177" fontId="12" fillId="0" borderId="45" xfId="4" applyNumberFormat="1" applyFont="1" applyFill="1" applyBorder="1" applyAlignment="1" applyProtection="1">
      <alignment horizontal="right"/>
    </xf>
    <xf numFmtId="177" fontId="12" fillId="0" borderId="46" xfId="4" applyNumberFormat="1" applyFont="1" applyFill="1" applyBorder="1" applyAlignment="1" applyProtection="1">
      <alignment horizontal="right"/>
    </xf>
    <xf numFmtId="0" fontId="10" fillId="0" borderId="28" xfId="0" applyFont="1" applyBorder="1" applyAlignment="1">
      <alignment horizontal="left" indent="1"/>
    </xf>
    <xf numFmtId="9" fontId="10" fillId="0" borderId="0" xfId="0" applyNumberFormat="1" applyFont="1" applyAlignment="1">
      <alignment horizontal="right"/>
    </xf>
    <xf numFmtId="9" fontId="10" fillId="0" borderId="47" xfId="0" applyNumberFormat="1" applyFont="1" applyBorder="1" applyAlignment="1">
      <alignment horizontal="right"/>
    </xf>
    <xf numFmtId="9" fontId="10" fillId="0" borderId="48" xfId="0" applyNumberFormat="1" applyFont="1" applyBorder="1" applyAlignment="1">
      <alignment horizontal="right"/>
    </xf>
    <xf numFmtId="0" fontId="18" fillId="3" borderId="4" xfId="0" applyFont="1" applyFill="1" applyBorder="1" applyAlignment="1">
      <alignment horizontal="centerContinuous"/>
    </xf>
    <xf numFmtId="0" fontId="18" fillId="3" borderId="8" xfId="0" applyFont="1" applyFill="1" applyBorder="1" applyAlignment="1">
      <alignment horizontal="centerContinuous"/>
    </xf>
    <xf numFmtId="0" fontId="5" fillId="0" borderId="19" xfId="6" applyFill="1" applyBorder="1" applyProtection="1"/>
    <xf numFmtId="0" fontId="5" fillId="0" borderId="0" xfId="6" applyFill="1" applyBorder="1" applyProtection="1"/>
    <xf numFmtId="0" fontId="12" fillId="0" borderId="49" xfId="1" applyFont="1" applyBorder="1" applyAlignment="1">
      <alignment horizontal="left" indent="1"/>
    </xf>
    <xf numFmtId="0" fontId="12" fillId="0" borderId="1" xfId="0" applyFont="1" applyBorder="1"/>
    <xf numFmtId="172" fontId="12" fillId="0" borderId="1" xfId="4" applyNumberFormat="1" applyFont="1" applyFill="1" applyBorder="1" applyAlignment="1" applyProtection="1">
      <alignment horizontal="right"/>
    </xf>
    <xf numFmtId="172" fontId="12" fillId="0" borderId="17" xfId="4" applyNumberFormat="1" applyFont="1" applyFill="1" applyBorder="1" applyAlignment="1" applyProtection="1">
      <alignment horizontal="right"/>
    </xf>
    <xf numFmtId="172" fontId="12" fillId="0" borderId="16" xfId="4" applyNumberFormat="1" applyFont="1" applyFill="1" applyBorder="1" applyAlignment="1" applyProtection="1">
      <alignment horizontal="right"/>
    </xf>
    <xf numFmtId="172" fontId="12" fillId="0" borderId="41" xfId="4" applyNumberFormat="1" applyFont="1" applyFill="1" applyBorder="1" applyAlignment="1" applyProtection="1">
      <alignment horizontal="right"/>
    </xf>
    <xf numFmtId="178" fontId="5" fillId="0" borderId="14" xfId="4" applyNumberFormat="1" applyFill="1" applyBorder="1" applyProtection="1"/>
    <xf numFmtId="0" fontId="0" fillId="0" borderId="0" xfId="0" applyAlignment="1">
      <alignment vertical="top"/>
    </xf>
    <xf numFmtId="0" fontId="0" fillId="0" borderId="14" xfId="0" applyBorder="1" applyAlignment="1">
      <alignment vertical="top"/>
    </xf>
    <xf numFmtId="0" fontId="5" fillId="0" borderId="49" xfId="0" applyFont="1" applyBorder="1"/>
    <xf numFmtId="0" fontId="5" fillId="0" borderId="41" xfId="0" applyFont="1" applyBorder="1"/>
    <xf numFmtId="0" fontId="11" fillId="3" borderId="50" xfId="0" applyFont="1" applyFill="1" applyBorder="1" applyAlignment="1">
      <alignment horizontal="centerContinuous"/>
    </xf>
    <xf numFmtId="0" fontId="11" fillId="3" borderId="51" xfId="0" applyFont="1" applyFill="1" applyBorder="1" applyAlignment="1">
      <alignment horizontal="centerContinuous"/>
    </xf>
    <xf numFmtId="0" fontId="12" fillId="0" borderId="19" xfId="6" applyFont="1" applyFill="1" applyBorder="1" applyProtection="1"/>
    <xf numFmtId="0" fontId="12" fillId="0" borderId="0" xfId="6" applyFont="1" applyFill="1" applyBorder="1" applyProtection="1"/>
    <xf numFmtId="178" fontId="12" fillId="0" borderId="40" xfId="4" applyNumberFormat="1" applyFont="1" applyFill="1" applyBorder="1" applyProtection="1"/>
    <xf numFmtId="181" fontId="5" fillId="0" borderId="0" xfId="0" applyNumberFormat="1" applyFont="1"/>
    <xf numFmtId="182" fontId="5" fillId="0" borderId="14" xfId="4" applyNumberFormat="1" applyFill="1" applyBorder="1" applyProtection="1"/>
    <xf numFmtId="0" fontId="12" fillId="0" borderId="0" xfId="1" applyFont="1" applyAlignment="1">
      <alignment horizontal="centerContinuous"/>
    </xf>
    <xf numFmtId="0" fontId="12" fillId="0" borderId="28" xfId="0" applyFont="1" applyBorder="1" applyAlignment="1">
      <alignment horizontal="left"/>
    </xf>
    <xf numFmtId="43" fontId="5" fillId="0" borderId="0" xfId="0" applyNumberFormat="1" applyFont="1"/>
    <xf numFmtId="178" fontId="12" fillId="0" borderId="8" xfId="4" applyNumberFormat="1" applyFont="1" applyFill="1" applyBorder="1" applyProtection="1"/>
    <xf numFmtId="0" fontId="4" fillId="0" borderId="19" xfId="6" applyFont="1" applyFill="1" applyBorder="1" applyAlignment="1" applyProtection="1">
      <alignment horizontal="left"/>
    </xf>
    <xf numFmtId="0" fontId="0" fillId="0" borderId="14" xfId="0" applyBorder="1"/>
    <xf numFmtId="177" fontId="5" fillId="0" borderId="0" xfId="4" applyNumberFormat="1" applyFill="1" applyBorder="1" applyAlignment="1" applyProtection="1">
      <alignment horizontal="right"/>
    </xf>
    <xf numFmtId="177" fontId="5" fillId="0" borderId="20" xfId="4" applyNumberFormat="1" applyFill="1" applyBorder="1" applyAlignment="1" applyProtection="1">
      <alignment horizontal="right"/>
    </xf>
    <xf numFmtId="177" fontId="5" fillId="0" borderId="10" xfId="4" applyNumberFormat="1" applyFill="1" applyBorder="1" applyAlignment="1" applyProtection="1">
      <alignment horizontal="right"/>
    </xf>
    <xf numFmtId="177" fontId="5" fillId="0" borderId="29" xfId="4" applyNumberFormat="1" applyFill="1" applyBorder="1" applyAlignment="1" applyProtection="1">
      <alignment horizontal="right"/>
    </xf>
    <xf numFmtId="0" fontId="17" fillId="0" borderId="19" xfId="0" applyFont="1" applyBorder="1"/>
    <xf numFmtId="178" fontId="5" fillId="0" borderId="52" xfId="4" applyNumberFormat="1" applyFill="1" applyBorder="1" applyProtection="1"/>
    <xf numFmtId="0" fontId="5" fillId="0" borderId="0" xfId="0" quotePrefix="1" applyFont="1"/>
    <xf numFmtId="0" fontId="19" fillId="0" borderId="19" xfId="6" applyFont="1" applyFill="1" applyBorder="1" applyAlignment="1" applyProtection="1">
      <alignment horizontal="left"/>
    </xf>
    <xf numFmtId="0" fontId="5" fillId="0" borderId="0" xfId="6" applyFill="1" applyBorder="1" applyAlignment="1" applyProtection="1">
      <alignment horizontal="left"/>
    </xf>
    <xf numFmtId="0" fontId="5" fillId="0" borderId="14" xfId="6" applyFill="1" applyBorder="1" applyAlignment="1" applyProtection="1">
      <alignment horizontal="left"/>
    </xf>
    <xf numFmtId="0" fontId="12" fillId="0" borderId="19" xfId="1" applyFont="1" applyBorder="1" applyAlignment="1">
      <alignment horizontal="center"/>
    </xf>
    <xf numFmtId="0" fontId="12" fillId="0" borderId="14" xfId="1" applyFont="1" applyBorder="1" applyAlignment="1">
      <alignment horizontal="center"/>
    </xf>
    <xf numFmtId="0" fontId="10" fillId="0" borderId="28" xfId="0" applyFont="1" applyBorder="1"/>
    <xf numFmtId="179" fontId="10" fillId="0" borderId="0" xfId="4" applyNumberFormat="1" applyFont="1" applyFill="1" applyBorder="1" applyAlignment="1" applyProtection="1">
      <alignment horizontal="right"/>
    </xf>
    <xf numFmtId="179" fontId="10" fillId="0" borderId="20" xfId="4" applyNumberFormat="1" applyFont="1" applyFill="1" applyBorder="1" applyAlignment="1" applyProtection="1">
      <alignment horizontal="right"/>
    </xf>
    <xf numFmtId="179" fontId="10" fillId="0" borderId="10" xfId="4" applyNumberFormat="1" applyFont="1" applyFill="1" applyBorder="1" applyAlignment="1" applyProtection="1">
      <alignment horizontal="right"/>
    </xf>
    <xf numFmtId="179" fontId="10" fillId="0" borderId="29" xfId="4" applyNumberFormat="1" applyFont="1" applyFill="1" applyBorder="1" applyAlignment="1" applyProtection="1">
      <alignment horizontal="right"/>
    </xf>
    <xf numFmtId="14" fontId="12" fillId="0" borderId="15" xfId="1" applyNumberFormat="1" applyFont="1" applyBorder="1" applyAlignment="1">
      <alignment horizontal="center"/>
    </xf>
    <xf numFmtId="14" fontId="12" fillId="0" borderId="1" xfId="1" applyNumberFormat="1" applyFont="1" applyBorder="1" applyAlignment="1">
      <alignment horizontal="center"/>
    </xf>
    <xf numFmtId="14" fontId="12" fillId="0" borderId="18" xfId="1" applyNumberFormat="1" applyFont="1" applyBorder="1" applyAlignment="1">
      <alignment horizontal="center"/>
    </xf>
    <xf numFmtId="0" fontId="5" fillId="0" borderId="0" xfId="0" applyFont="1" applyAlignment="1">
      <alignment horizontal="right"/>
    </xf>
    <xf numFmtId="0" fontId="5" fillId="0" borderId="20" xfId="0" applyFont="1" applyBorder="1" applyAlignment="1">
      <alignment horizontal="right"/>
    </xf>
    <xf numFmtId="0" fontId="5" fillId="0" borderId="10" xfId="0" applyFont="1" applyBorder="1" applyAlignment="1">
      <alignment horizontal="right"/>
    </xf>
    <xf numFmtId="0" fontId="5" fillId="0" borderId="29" xfId="0" applyFont="1" applyBorder="1" applyAlignment="1">
      <alignment horizontal="right"/>
    </xf>
    <xf numFmtId="178" fontId="14" fillId="2" borderId="0" xfId="4" applyNumberFormat="1" applyFont="1" applyFill="1" applyBorder="1" applyProtection="1"/>
    <xf numFmtId="172" fontId="14" fillId="2" borderId="0" xfId="4" applyNumberFormat="1" applyFont="1" applyFill="1" applyBorder="1" applyProtection="1"/>
    <xf numFmtId="178" fontId="5" fillId="0" borderId="0" xfId="4" applyNumberFormat="1" applyFill="1" applyBorder="1" applyProtection="1"/>
    <xf numFmtId="177" fontId="5" fillId="0" borderId="14" xfId="4" applyNumberFormat="1" applyFill="1" applyBorder="1" applyProtection="1"/>
    <xf numFmtId="174" fontId="14" fillId="2" borderId="0" xfId="4" applyNumberFormat="1" applyFont="1" applyFill="1" applyBorder="1" applyProtection="1"/>
    <xf numFmtId="183" fontId="5" fillId="0" borderId="14" xfId="4" applyNumberFormat="1" applyFill="1" applyBorder="1" applyProtection="1"/>
    <xf numFmtId="184" fontId="5" fillId="0" borderId="14" xfId="4" applyNumberFormat="1" applyFill="1" applyBorder="1" applyProtection="1"/>
    <xf numFmtId="185" fontId="5" fillId="0" borderId="29" xfId="4" applyNumberFormat="1" applyFill="1" applyBorder="1" applyAlignment="1" applyProtection="1">
      <alignment horizontal="right"/>
    </xf>
    <xf numFmtId="180" fontId="4" fillId="0" borderId="0" xfId="0" applyNumberFormat="1" applyFont="1"/>
    <xf numFmtId="178" fontId="4" fillId="0" borderId="0" xfId="4" applyNumberFormat="1" applyFont="1" applyFill="1" applyBorder="1" applyAlignment="1" applyProtection="1">
      <alignment horizontal="right"/>
    </xf>
    <xf numFmtId="178" fontId="4" fillId="0" borderId="14" xfId="4" applyNumberFormat="1" applyFont="1" applyFill="1" applyBorder="1" applyAlignment="1" applyProtection="1">
      <alignment horizontal="right"/>
    </xf>
    <xf numFmtId="178" fontId="5" fillId="0" borderId="10" xfId="4" applyNumberFormat="1" applyFill="1" applyBorder="1" applyProtection="1"/>
    <xf numFmtId="178" fontId="5" fillId="0" borderId="53" xfId="4" applyNumberFormat="1" applyFill="1" applyBorder="1" applyProtection="1"/>
    <xf numFmtId="178" fontId="14" fillId="2" borderId="1" xfId="4" applyNumberFormat="1" applyFont="1" applyFill="1" applyBorder="1" applyProtection="1"/>
    <xf numFmtId="174" fontId="14" fillId="2" borderId="1" xfId="4" applyNumberFormat="1" applyFont="1" applyFill="1" applyBorder="1" applyProtection="1"/>
    <xf numFmtId="178" fontId="5" fillId="0" borderId="1" xfId="4" applyNumberFormat="1" applyFill="1" applyBorder="1" applyProtection="1"/>
    <xf numFmtId="184" fontId="5" fillId="0" borderId="18" xfId="4" applyNumberFormat="1" applyFill="1" applyBorder="1" applyProtection="1"/>
    <xf numFmtId="178" fontId="12" fillId="0" borderId="0" xfId="4" applyNumberFormat="1" applyFont="1" applyFill="1" applyBorder="1" applyProtection="1"/>
    <xf numFmtId="181" fontId="12" fillId="0" borderId="0" xfId="1" applyNumberFormat="1" applyFont="1"/>
    <xf numFmtId="0" fontId="3" fillId="0" borderId="19" xfId="0" applyFont="1" applyBorder="1"/>
    <xf numFmtId="166" fontId="12" fillId="0" borderId="18" xfId="0" applyNumberFormat="1" applyFont="1" applyBorder="1" applyAlignment="1">
      <alignment horizontal="center"/>
    </xf>
    <xf numFmtId="186" fontId="5" fillId="0" borderId="0" xfId="0" applyNumberFormat="1" applyFont="1"/>
    <xf numFmtId="0" fontId="4" fillId="2" borderId="0" xfId="0" applyFont="1" applyFill="1" applyAlignment="1">
      <alignment horizontal="center"/>
    </xf>
    <xf numFmtId="0" fontId="5" fillId="0" borderId="19" xfId="9" applyBorder="1"/>
    <xf numFmtId="0" fontId="12" fillId="0" borderId="0" xfId="3" applyFont="1" applyAlignment="1">
      <alignment horizontal="center"/>
    </xf>
    <xf numFmtId="0" fontId="12" fillId="0" borderId="14" xfId="3" applyFont="1" applyBorder="1" applyAlignment="1">
      <alignment horizontal="center"/>
    </xf>
    <xf numFmtId="0" fontId="5" fillId="2" borderId="0" xfId="0" applyFont="1" applyFill="1"/>
    <xf numFmtId="0" fontId="12" fillId="0" borderId="1" xfId="3" applyFont="1" applyBorder="1" applyAlignment="1">
      <alignment horizontal="center"/>
    </xf>
    <xf numFmtId="0" fontId="12" fillId="0" borderId="18" xfId="3" applyFont="1" applyBorder="1" applyAlignment="1">
      <alignment horizontal="center"/>
    </xf>
    <xf numFmtId="0" fontId="4" fillId="2" borderId="0" xfId="0" applyFont="1" applyFill="1"/>
    <xf numFmtId="0" fontId="5" fillId="0" borderId="10" xfId="0" applyFont="1" applyBorder="1"/>
    <xf numFmtId="184" fontId="5" fillId="0" borderId="0" xfId="4" applyNumberFormat="1" applyFill="1" applyBorder="1" applyProtection="1"/>
    <xf numFmtId="187" fontId="14" fillId="2" borderId="14" xfId="4" applyNumberFormat="1" applyFont="1" applyFill="1" applyBorder="1" applyAlignment="1" applyProtection="1">
      <alignment horizontal="right"/>
    </xf>
    <xf numFmtId="188" fontId="5" fillId="0" borderId="0" xfId="1" applyNumberFormat="1" applyFont="1" applyAlignment="1">
      <alignment horizontal="right"/>
    </xf>
    <xf numFmtId="188" fontId="5" fillId="0" borderId="20" xfId="1" applyNumberFormat="1" applyFont="1" applyBorder="1" applyAlignment="1">
      <alignment horizontal="right"/>
    </xf>
    <xf numFmtId="188" fontId="5" fillId="0" borderId="10" xfId="1" applyNumberFormat="1" applyFont="1" applyBorder="1" applyAlignment="1">
      <alignment horizontal="right"/>
    </xf>
    <xf numFmtId="188" fontId="5" fillId="0" borderId="29" xfId="1" applyNumberFormat="1" applyFont="1" applyBorder="1" applyAlignment="1">
      <alignment horizontal="right"/>
    </xf>
    <xf numFmtId="185" fontId="5" fillId="0" borderId="41" xfId="4" applyNumberFormat="1" applyFill="1" applyBorder="1" applyAlignment="1" applyProtection="1">
      <alignment horizontal="right"/>
    </xf>
    <xf numFmtId="0" fontId="12" fillId="0" borderId="15" xfId="1" applyFont="1" applyBorder="1"/>
    <xf numFmtId="181" fontId="5" fillId="0" borderId="1" xfId="1" applyNumberFormat="1" applyFont="1" applyBorder="1"/>
    <xf numFmtId="189" fontId="5" fillId="0" borderId="1" xfId="1" applyNumberFormat="1" applyFont="1" applyBorder="1"/>
    <xf numFmtId="182" fontId="12" fillId="0" borderId="8" xfId="4" applyNumberFormat="1" applyFont="1" applyFill="1" applyBorder="1" applyProtection="1"/>
    <xf numFmtId="0" fontId="5" fillId="0" borderId="0" xfId="9"/>
    <xf numFmtId="184" fontId="14" fillId="0" borderId="0" xfId="4" applyNumberFormat="1" applyFont="1" applyFill="1" applyBorder="1" applyProtection="1"/>
    <xf numFmtId="174" fontId="14" fillId="0" borderId="0" xfId="4" applyNumberFormat="1" applyFont="1" applyFill="1" applyBorder="1" applyProtection="1"/>
    <xf numFmtId="185" fontId="5" fillId="0" borderId="0" xfId="4" applyNumberFormat="1" applyFill="1" applyBorder="1" applyAlignment="1" applyProtection="1">
      <alignment horizontal="right"/>
    </xf>
    <xf numFmtId="185" fontId="5" fillId="0" borderId="20" xfId="4" applyNumberFormat="1" applyFill="1" applyBorder="1" applyAlignment="1" applyProtection="1">
      <alignment horizontal="right"/>
    </xf>
    <xf numFmtId="185" fontId="5" fillId="0" borderId="10" xfId="4" applyNumberFormat="1" applyFill="1" applyBorder="1" applyAlignment="1" applyProtection="1">
      <alignment horizontal="right"/>
    </xf>
    <xf numFmtId="190" fontId="5" fillId="0" borderId="0" xfId="0" applyNumberFormat="1" applyFont="1" applyAlignment="1">
      <alignment horizontal="right"/>
    </xf>
    <xf numFmtId="190" fontId="5" fillId="0" borderId="14" xfId="0" applyNumberFormat="1" applyFont="1" applyBorder="1" applyAlignment="1">
      <alignment horizontal="right"/>
    </xf>
    <xf numFmtId="178" fontId="4" fillId="2" borderId="0" xfId="4" applyNumberFormat="1" applyFont="1" applyFill="1" applyBorder="1" applyAlignment="1" applyProtection="1">
      <alignment horizontal="right"/>
    </xf>
    <xf numFmtId="178" fontId="4" fillId="2" borderId="20" xfId="4" applyNumberFormat="1" applyFont="1" applyFill="1" applyBorder="1" applyAlignment="1" applyProtection="1">
      <alignment horizontal="right"/>
    </xf>
    <xf numFmtId="178" fontId="4" fillId="2" borderId="10" xfId="4" applyNumberFormat="1" applyFont="1" applyFill="1" applyBorder="1" applyAlignment="1" applyProtection="1">
      <alignment horizontal="right"/>
    </xf>
    <xf numFmtId="190" fontId="5" fillId="0" borderId="1" xfId="0" applyNumberFormat="1" applyFont="1" applyBorder="1" applyAlignment="1">
      <alignment horizontal="right"/>
    </xf>
    <xf numFmtId="190" fontId="5" fillId="0" borderId="18" xfId="0" applyNumberFormat="1" applyFont="1" applyBorder="1" applyAlignment="1">
      <alignment horizontal="right"/>
    </xf>
    <xf numFmtId="0" fontId="3" fillId="0" borderId="15" xfId="0" applyFont="1" applyBorder="1"/>
    <xf numFmtId="0" fontId="5" fillId="2" borderId="1" xfId="0" applyFont="1" applyFill="1" applyBorder="1"/>
    <xf numFmtId="187" fontId="14" fillId="2" borderId="18" xfId="4" applyNumberFormat="1" applyFont="1" applyFill="1" applyBorder="1" applyAlignment="1" applyProtection="1">
      <alignment horizontal="right"/>
    </xf>
    <xf numFmtId="0" fontId="9" fillId="0" borderId="0" xfId="0" applyFont="1"/>
    <xf numFmtId="0" fontId="12" fillId="0" borderId="3" xfId="0" applyFont="1" applyBorder="1"/>
    <xf numFmtId="0" fontId="5" fillId="0" borderId="3" xfId="0" applyFont="1" applyBorder="1"/>
    <xf numFmtId="0" fontId="5" fillId="0" borderId="4" xfId="0" applyFont="1" applyBorder="1"/>
    <xf numFmtId="179" fontId="12" fillId="0" borderId="8" xfId="4" applyNumberFormat="1" applyFont="1" applyFill="1" applyBorder="1" applyAlignment="1" applyProtection="1">
      <alignment horizontal="center"/>
    </xf>
    <xf numFmtId="179" fontId="10" fillId="0" borderId="14" xfId="4" applyNumberFormat="1" applyFont="1" applyFill="1" applyBorder="1" applyAlignment="1" applyProtection="1">
      <alignment horizontal="right"/>
    </xf>
    <xf numFmtId="0" fontId="19" fillId="0" borderId="19" xfId="0" applyFont="1" applyBorder="1" applyAlignment="1">
      <alignment horizontal="left"/>
    </xf>
    <xf numFmtId="0" fontId="20" fillId="0" borderId="0" xfId="0" applyFont="1" applyAlignment="1">
      <alignment horizontal="left"/>
    </xf>
    <xf numFmtId="0" fontId="20" fillId="0" borderId="14" xfId="0" applyFont="1" applyBorder="1" applyAlignment="1">
      <alignment horizontal="left"/>
    </xf>
    <xf numFmtId="0" fontId="12" fillId="0" borderId="28" xfId="0" applyFont="1" applyBorder="1"/>
    <xf numFmtId="172" fontId="12" fillId="0" borderId="0" xfId="4" applyNumberFormat="1" applyFont="1" applyFill="1" applyBorder="1" applyAlignment="1" applyProtection="1">
      <alignment horizontal="right"/>
    </xf>
    <xf numFmtId="172" fontId="12" fillId="0" borderId="12" xfId="4" applyNumberFormat="1" applyFont="1" applyFill="1" applyBorder="1" applyAlignment="1" applyProtection="1">
      <alignment horizontal="right"/>
    </xf>
    <xf numFmtId="172" fontId="12" fillId="0" borderId="11" xfId="4" applyNumberFormat="1" applyFont="1" applyFill="1" applyBorder="1" applyAlignment="1" applyProtection="1">
      <alignment horizontal="right"/>
    </xf>
    <xf numFmtId="172" fontId="12" fillId="0" borderId="13" xfId="4" applyNumberFormat="1" applyFont="1" applyFill="1" applyBorder="1" applyAlignment="1" applyProtection="1">
      <alignment horizontal="right"/>
    </xf>
    <xf numFmtId="172" fontId="12" fillId="0" borderId="42" xfId="4" applyNumberFormat="1" applyFont="1" applyFill="1" applyBorder="1" applyAlignment="1" applyProtection="1">
      <alignment horizontal="right"/>
    </xf>
    <xf numFmtId="0" fontId="12" fillId="0" borderId="1" xfId="0" applyFont="1" applyBorder="1" applyAlignment="1">
      <alignment horizontal="center"/>
    </xf>
    <xf numFmtId="0" fontId="12" fillId="0" borderId="18" xfId="0" applyFont="1" applyBorder="1" applyAlignment="1">
      <alignment horizontal="center"/>
    </xf>
    <xf numFmtId="0" fontId="12" fillId="0" borderId="15" xfId="0" applyFont="1" applyBorder="1"/>
    <xf numFmtId="0" fontId="10" fillId="0" borderId="19" xfId="0" applyFont="1" applyBorder="1"/>
    <xf numFmtId="0" fontId="10" fillId="5" borderId="49" xfId="0" applyFont="1" applyFill="1" applyBorder="1" applyAlignment="1">
      <alignment horizontal="left"/>
    </xf>
    <xf numFmtId="0" fontId="12" fillId="5" borderId="1" xfId="0" applyFont="1" applyFill="1" applyBorder="1" applyAlignment="1">
      <alignment horizontal="left"/>
    </xf>
    <xf numFmtId="0" fontId="12" fillId="5" borderId="41" xfId="0" applyFont="1" applyFill="1" applyBorder="1" applyAlignment="1">
      <alignment horizontal="left"/>
    </xf>
    <xf numFmtId="191" fontId="10" fillId="0" borderId="0" xfId="4" applyNumberFormat="1" applyFont="1" applyFill="1" applyBorder="1" applyAlignment="1" applyProtection="1">
      <alignment horizontal="right"/>
    </xf>
    <xf numFmtId="191" fontId="10" fillId="0" borderId="14" xfId="4" applyNumberFormat="1" applyFont="1" applyFill="1" applyBorder="1" applyAlignment="1" applyProtection="1">
      <alignment horizontal="right"/>
    </xf>
    <xf numFmtId="172" fontId="14" fillId="2" borderId="1" xfId="4" applyNumberFormat="1" applyFont="1" applyFill="1" applyBorder="1" applyProtection="1"/>
    <xf numFmtId="179" fontId="10" fillId="0" borderId="18" xfId="4" applyNumberFormat="1" applyFont="1" applyFill="1" applyBorder="1" applyAlignment="1" applyProtection="1">
      <alignment horizontal="right"/>
    </xf>
    <xf numFmtId="191" fontId="10" fillId="0" borderId="1" xfId="4" applyNumberFormat="1" applyFont="1" applyFill="1" applyBorder="1" applyAlignment="1" applyProtection="1">
      <alignment horizontal="right"/>
    </xf>
    <xf numFmtId="191" fontId="10" fillId="0" borderId="18" xfId="4" applyNumberFormat="1" applyFont="1" applyFill="1" applyBorder="1" applyAlignment="1" applyProtection="1">
      <alignment horizontal="right"/>
    </xf>
    <xf numFmtId="0" fontId="19" fillId="0" borderId="9" xfId="0" applyFont="1" applyBorder="1"/>
    <xf numFmtId="0" fontId="5" fillId="0" borderId="12" xfId="0" applyFont="1" applyBorder="1"/>
    <xf numFmtId="0" fontId="12" fillId="0" borderId="4" xfId="0" applyFont="1" applyBorder="1" applyAlignment="1">
      <alignment horizontal="center"/>
    </xf>
    <xf numFmtId="0" fontId="12" fillId="0" borderId="8" xfId="0" applyFont="1" applyBorder="1" applyAlignment="1">
      <alignment horizontal="center"/>
    </xf>
    <xf numFmtId="0" fontId="4" fillId="0" borderId="0" xfId="6" quotePrefix="1" applyFont="1" applyFill="1" applyBorder="1" applyAlignment="1" applyProtection="1">
      <alignment vertical="top"/>
    </xf>
    <xf numFmtId="166" fontId="14" fillId="2" borderId="0" xfId="0" applyNumberFormat="1" applyFont="1" applyFill="1"/>
    <xf numFmtId="0" fontId="12" fillId="0" borderId="19" xfId="0" applyFont="1" applyBorder="1" applyAlignment="1">
      <alignment horizontal="left"/>
    </xf>
    <xf numFmtId="178" fontId="5" fillId="0" borderId="14" xfId="4" applyNumberFormat="1" applyFill="1" applyBorder="1" applyAlignment="1" applyProtection="1">
      <alignment horizontal="right"/>
    </xf>
    <xf numFmtId="178" fontId="14" fillId="0" borderId="1" xfId="4" applyNumberFormat="1" applyFont="1" applyFill="1" applyBorder="1" applyAlignment="1" applyProtection="1">
      <alignment horizontal="right"/>
    </xf>
    <xf numFmtId="178" fontId="5" fillId="0" borderId="18" xfId="4" applyNumberFormat="1" applyFill="1" applyBorder="1" applyAlignment="1" applyProtection="1">
      <alignment horizontal="right"/>
    </xf>
    <xf numFmtId="178" fontId="14" fillId="5" borderId="12" xfId="4" applyNumberFormat="1" applyFont="1" applyFill="1" applyBorder="1" applyAlignment="1" applyProtection="1">
      <alignment horizontal="right"/>
    </xf>
    <xf numFmtId="178" fontId="5" fillId="0" borderId="12" xfId="4" applyNumberFormat="1" applyFill="1" applyBorder="1" applyAlignment="1" applyProtection="1">
      <alignment horizontal="right"/>
    </xf>
    <xf numFmtId="0" fontId="0" fillId="0" borderId="1" xfId="0" applyBorder="1"/>
    <xf numFmtId="192" fontId="10" fillId="0" borderId="0" xfId="4" applyNumberFormat="1" applyFont="1" applyFill="1" applyBorder="1" applyAlignment="1" applyProtection="1">
      <alignment horizontal="right"/>
    </xf>
    <xf numFmtId="0" fontId="14" fillId="2" borderId="40" xfId="0" applyFont="1" applyFill="1" applyBorder="1" applyAlignment="1">
      <alignment horizontal="center"/>
    </xf>
    <xf numFmtId="0" fontId="14" fillId="2" borderId="14" xfId="0" applyFont="1" applyFill="1" applyBorder="1" applyAlignment="1">
      <alignment horizontal="center"/>
    </xf>
    <xf numFmtId="166" fontId="14" fillId="2" borderId="14" xfId="0" applyNumberFormat="1" applyFont="1" applyFill="1" applyBorder="1" applyAlignment="1">
      <alignment horizontal="center"/>
    </xf>
    <xf numFmtId="179" fontId="14" fillId="2" borderId="14" xfId="4" applyNumberFormat="1" applyFont="1" applyFill="1" applyBorder="1" applyAlignment="1" applyProtection="1">
      <alignment horizontal="center"/>
    </xf>
    <xf numFmtId="9" fontId="14" fillId="2" borderId="14" xfId="4" applyNumberFormat="1" applyFont="1" applyFill="1" applyBorder="1" applyAlignment="1" applyProtection="1">
      <alignment horizontal="center"/>
    </xf>
    <xf numFmtId="178" fontId="14" fillId="2" borderId="14" xfId="4" applyNumberFormat="1" applyFont="1" applyFill="1" applyBorder="1" applyAlignment="1" applyProtection="1">
      <alignment horizontal="center"/>
    </xf>
    <xf numFmtId="193" fontId="14" fillId="2" borderId="14" xfId="4" applyNumberFormat="1" applyFont="1" applyFill="1" applyBorder="1" applyAlignment="1" applyProtection="1">
      <alignment horizontal="center"/>
    </xf>
    <xf numFmtId="194" fontId="14" fillId="2" borderId="14" xfId="4" applyNumberFormat="1" applyFont="1" applyFill="1" applyBorder="1" applyAlignment="1" applyProtection="1">
      <alignment horizontal="center"/>
    </xf>
    <xf numFmtId="195" fontId="14" fillId="2" borderId="14" xfId="4" applyNumberFormat="1" applyFont="1" applyFill="1" applyBorder="1" applyAlignment="1" applyProtection="1">
      <alignment horizontal="center"/>
    </xf>
    <xf numFmtId="37" fontId="14" fillId="2" borderId="14" xfId="4" applyNumberFormat="1" applyFont="1" applyFill="1" applyBorder="1" applyAlignment="1" applyProtection="1">
      <alignment horizontal="right"/>
    </xf>
    <xf numFmtId="37" fontId="0" fillId="0" borderId="0" xfId="0" applyNumberFormat="1"/>
    <xf numFmtId="3" fontId="0" fillId="0" borderId="0" xfId="0" applyNumberFormat="1"/>
    <xf numFmtId="0" fontId="12" fillId="0" borderId="23" xfId="0" applyFont="1" applyBorder="1"/>
    <xf numFmtId="0" fontId="5" fillId="0" borderId="24" xfId="0" applyFont="1" applyBorder="1"/>
    <xf numFmtId="0" fontId="17" fillId="0" borderId="28" xfId="0" applyFont="1" applyBorder="1"/>
    <xf numFmtId="0" fontId="5" fillId="0" borderId="0" xfId="0" applyFont="1" applyAlignment="1">
      <alignment horizontal="center"/>
    </xf>
    <xf numFmtId="176" fontId="5" fillId="0" borderId="0" xfId="0" applyNumberFormat="1" applyFont="1"/>
    <xf numFmtId="44" fontId="5" fillId="0" borderId="0" xfId="0" applyNumberFormat="1" applyFont="1"/>
    <xf numFmtId="178" fontId="5" fillId="0" borderId="0" xfId="0" applyNumberFormat="1" applyFont="1"/>
    <xf numFmtId="177" fontId="5" fillId="0" borderId="0" xfId="0" applyNumberFormat="1" applyFont="1"/>
    <xf numFmtId="177" fontId="12" fillId="0" borderId="28" xfId="0" applyNumberFormat="1" applyFont="1" applyBorder="1"/>
    <xf numFmtId="177" fontId="5" fillId="0" borderId="28" xfId="0" applyNumberFormat="1" applyFont="1" applyBorder="1"/>
    <xf numFmtId="177" fontId="23" fillId="0" borderId="28" xfId="0" applyNumberFormat="1" applyFont="1" applyBorder="1"/>
    <xf numFmtId="10" fontId="5" fillId="0" borderId="0" xfId="0" applyNumberFormat="1" applyFont="1"/>
    <xf numFmtId="10" fontId="5" fillId="0" borderId="1" xfId="0" applyNumberFormat="1" applyFont="1" applyBorder="1"/>
    <xf numFmtId="0" fontId="5" fillId="0" borderId="55" xfId="0" applyFont="1" applyBorder="1"/>
    <xf numFmtId="44" fontId="5" fillId="0" borderId="14" xfId="0" applyNumberFormat="1" applyFont="1" applyBorder="1"/>
    <xf numFmtId="178" fontId="5" fillId="0" borderId="14" xfId="0" applyNumberFormat="1" applyFont="1" applyBorder="1"/>
    <xf numFmtId="177" fontId="5" fillId="0" borderId="14" xfId="0" applyNumberFormat="1" applyFont="1" applyBorder="1"/>
    <xf numFmtId="10" fontId="12" fillId="0" borderId="14" xfId="0" applyNumberFormat="1" applyFont="1" applyBorder="1"/>
    <xf numFmtId="10" fontId="12" fillId="0" borderId="18" xfId="0" applyNumberFormat="1" applyFont="1" applyBorder="1"/>
    <xf numFmtId="196" fontId="11" fillId="3" borderId="56" xfId="0" applyNumberFormat="1" applyFont="1" applyFill="1" applyBorder="1" applyAlignment="1">
      <alignment horizontal="centerContinuous"/>
    </xf>
    <xf numFmtId="196" fontId="18" fillId="3" borderId="57" xfId="0" applyNumberFormat="1" applyFont="1" applyFill="1" applyBorder="1" applyAlignment="1">
      <alignment horizontal="centerContinuous"/>
    </xf>
    <xf numFmtId="196" fontId="11" fillId="3" borderId="58" xfId="0" applyNumberFormat="1" applyFont="1" applyFill="1" applyBorder="1" applyAlignment="1">
      <alignment horizontal="centerContinuous"/>
    </xf>
    <xf numFmtId="196" fontId="18" fillId="3" borderId="59" xfId="0" applyNumberFormat="1" applyFont="1" applyFill="1" applyBorder="1" applyAlignment="1">
      <alignment horizontal="centerContinuous"/>
    </xf>
    <xf numFmtId="196" fontId="18" fillId="5" borderId="0" xfId="0" applyNumberFormat="1" applyFont="1" applyFill="1"/>
    <xf numFmtId="9" fontId="2" fillId="2" borderId="60" xfId="0" applyNumberFormat="1" applyFont="1" applyFill="1" applyBorder="1" applyAlignment="1">
      <alignment horizontal="center"/>
    </xf>
    <xf numFmtId="0" fontId="11" fillId="3" borderId="61" xfId="0" applyFont="1" applyFill="1" applyBorder="1" applyAlignment="1">
      <alignment horizontal="center" wrapText="1"/>
    </xf>
    <xf numFmtId="0" fontId="11" fillId="3" borderId="62" xfId="0" applyFont="1" applyFill="1" applyBorder="1" applyAlignment="1">
      <alignment horizontal="center" wrapText="1"/>
    </xf>
    <xf numFmtId="0" fontId="11" fillId="3" borderId="63" xfId="0" applyFont="1" applyFill="1" applyBorder="1" applyAlignment="1">
      <alignment horizontal="center" wrapText="1"/>
    </xf>
    <xf numFmtId="0" fontId="11" fillId="3" borderId="64" xfId="0" applyFont="1" applyFill="1" applyBorder="1" applyAlignment="1">
      <alignment horizontal="center" wrapText="1"/>
    </xf>
    <xf numFmtId="0" fontId="11" fillId="5" borderId="0" xfId="0" applyFont="1" applyFill="1" applyAlignment="1">
      <alignment horizontal="center" wrapText="1"/>
    </xf>
    <xf numFmtId="0" fontId="3" fillId="0" borderId="0" xfId="0" applyFont="1" applyAlignment="1">
      <alignment horizontal="left" wrapText="1"/>
    </xf>
    <xf numFmtId="167" fontId="5" fillId="0" borderId="0" xfId="1" applyNumberFormat="1" applyFont="1" applyAlignment="1">
      <alignment horizontal="right"/>
    </xf>
    <xf numFmtId="167" fontId="5" fillId="0" borderId="20" xfId="1" applyNumberFormat="1" applyFont="1" applyBorder="1" applyAlignment="1">
      <alignment horizontal="right"/>
    </xf>
    <xf numFmtId="167" fontId="5" fillId="0" borderId="65" xfId="1" applyNumberFormat="1" applyFont="1" applyBorder="1" applyAlignment="1">
      <alignment horizontal="right"/>
    </xf>
    <xf numFmtId="5" fontId="5" fillId="0" borderId="0" xfId="1" applyNumberFormat="1" applyFont="1" applyAlignment="1">
      <alignment horizontal="right"/>
    </xf>
    <xf numFmtId="5" fontId="5" fillId="0" borderId="20" xfId="1" applyNumberFormat="1" applyFont="1" applyBorder="1" applyAlignment="1">
      <alignment horizontal="right"/>
    </xf>
    <xf numFmtId="7" fontId="5" fillId="0" borderId="65" xfId="1" applyNumberFormat="1" applyFont="1" applyBorder="1" applyAlignment="1">
      <alignment horizontal="right"/>
    </xf>
    <xf numFmtId="167" fontId="5" fillId="0" borderId="65" xfId="1" applyNumberFormat="1" applyFont="1" applyBorder="1" applyAlignment="1">
      <alignment horizontal="center"/>
    </xf>
    <xf numFmtId="0" fontId="24" fillId="0" borderId="0" xfId="0" applyFont="1"/>
    <xf numFmtId="0" fontId="5" fillId="0" borderId="20" xfId="1" applyFont="1" applyBorder="1"/>
    <xf numFmtId="0" fontId="5" fillId="0" borderId="65" xfId="1" applyFont="1" applyBorder="1"/>
    <xf numFmtId="0" fontId="3" fillId="0" borderId="0" xfId="0" applyFont="1" applyAlignment="1">
      <alignment horizontal="left" indent="1"/>
    </xf>
    <xf numFmtId="37" fontId="5" fillId="0" borderId="0" xfId="1" applyNumberFormat="1" applyFont="1"/>
    <xf numFmtId="37" fontId="5" fillId="0" borderId="20" xfId="1" applyNumberFormat="1" applyFont="1" applyBorder="1"/>
    <xf numFmtId="37" fontId="5" fillId="0" borderId="14" xfId="1" applyNumberFormat="1" applyFont="1" applyBorder="1"/>
    <xf numFmtId="37" fontId="4" fillId="0" borderId="0" xfId="1" applyNumberFormat="1" applyFont="1"/>
    <xf numFmtId="37" fontId="4" fillId="0" borderId="20" xfId="1" applyNumberFormat="1" applyFont="1" applyBorder="1"/>
    <xf numFmtId="37" fontId="4" fillId="0" borderId="14" xfId="1" applyNumberFormat="1" applyFont="1" applyBorder="1"/>
    <xf numFmtId="37" fontId="5" fillId="0" borderId="12" xfId="1" applyNumberFormat="1" applyFont="1" applyBorder="1"/>
    <xf numFmtId="37" fontId="5" fillId="0" borderId="11" xfId="1" applyNumberFormat="1" applyFont="1" applyBorder="1"/>
    <xf numFmtId="37" fontId="5" fillId="0" borderId="40" xfId="1" applyNumberFormat="1" applyFont="1" applyBorder="1"/>
    <xf numFmtId="0" fontId="1" fillId="0" borderId="0" xfId="0" applyFont="1" applyAlignment="1">
      <alignment horizontal="left" indent="1"/>
    </xf>
    <xf numFmtId="7" fontId="12" fillId="0" borderId="0" xfId="1" applyNumberFormat="1" applyFont="1"/>
    <xf numFmtId="7" fontId="12" fillId="0" borderId="20" xfId="1" applyNumberFormat="1" applyFont="1" applyBorder="1"/>
    <xf numFmtId="7" fontId="12" fillId="0" borderId="14" xfId="1" applyNumberFormat="1" applyFont="1" applyBorder="1"/>
    <xf numFmtId="0" fontId="5" fillId="0" borderId="14" xfId="1" applyFont="1" applyBorder="1"/>
    <xf numFmtId="0" fontId="24" fillId="0" borderId="0" xfId="0" applyFont="1" applyAlignment="1">
      <alignment horizontal="left"/>
    </xf>
    <xf numFmtId="196" fontId="11" fillId="3" borderId="66" xfId="0" applyNumberFormat="1" applyFont="1" applyFill="1" applyBorder="1" applyAlignment="1">
      <alignment horizontal="centerContinuous" vertical="center"/>
    </xf>
    <xf numFmtId="196" fontId="11" fillId="3" borderId="67" xfId="0" applyNumberFormat="1" applyFont="1" applyFill="1" applyBorder="1" applyAlignment="1">
      <alignment horizontal="centerContinuous"/>
    </xf>
    <xf numFmtId="196" fontId="11" fillId="3" borderId="68" xfId="0" applyNumberFormat="1" applyFont="1" applyFill="1" applyBorder="1" applyAlignment="1">
      <alignment horizontal="centerContinuous" vertical="center"/>
    </xf>
    <xf numFmtId="0" fontId="3" fillId="0" borderId="14" xfId="0" applyFont="1" applyBorder="1"/>
    <xf numFmtId="7" fontId="3" fillId="0" borderId="14" xfId="0" applyNumberFormat="1" applyFont="1" applyBorder="1"/>
    <xf numFmtId="9" fontId="3" fillId="0" borderId="1" xfId="0" applyNumberFormat="1" applyFont="1" applyBorder="1"/>
    <xf numFmtId="7" fontId="3" fillId="0" borderId="18" xfId="0" applyNumberFormat="1" applyFont="1" applyBorder="1"/>
    <xf numFmtId="0" fontId="1" fillId="0" borderId="1" xfId="0" applyFont="1" applyBorder="1" applyAlignment="1">
      <alignment horizontal="left" indent="1"/>
    </xf>
    <xf numFmtId="7" fontId="12" fillId="0" borderId="1" xfId="1" applyNumberFormat="1" applyFont="1" applyBorder="1"/>
    <xf numFmtId="7" fontId="12" fillId="0" borderId="17" xfId="1" applyNumberFormat="1" applyFont="1" applyBorder="1"/>
    <xf numFmtId="7" fontId="12" fillId="0" borderId="18" xfId="1" applyNumberFormat="1" applyFont="1" applyBorder="1"/>
    <xf numFmtId="0" fontId="14" fillId="2" borderId="28" xfId="0" applyFont="1" applyFill="1" applyBorder="1" applyAlignment="1">
      <alignment vertical="top" wrapText="1"/>
    </xf>
    <xf numFmtId="0" fontId="0" fillId="0" borderId="0" xfId="0"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22" xfId="0" applyBorder="1" applyAlignment="1">
      <alignment vertical="top" wrapText="1"/>
    </xf>
    <xf numFmtId="0" fontId="0" fillId="0" borderId="33" xfId="0" applyBorder="1" applyAlignment="1">
      <alignment vertical="top" wrapText="1"/>
    </xf>
    <xf numFmtId="0" fontId="5" fillId="0" borderId="0" xfId="0" applyFont="1" applyAlignment="1">
      <alignment horizontal="left" vertical="top" wrapText="1"/>
    </xf>
    <xf numFmtId="0" fontId="4" fillId="2" borderId="0" xfId="6" applyFont="1" applyFill="1" applyBorder="1" applyAlignment="1" applyProtection="1">
      <alignment vertical="top" wrapText="1"/>
    </xf>
    <xf numFmtId="0" fontId="0" fillId="0" borderId="14" xfId="0" applyBorder="1" applyAlignment="1">
      <alignment vertical="top" wrapText="1"/>
    </xf>
    <xf numFmtId="0" fontId="0" fillId="0" borderId="0" xfId="0" applyAlignment="1">
      <alignment wrapText="1"/>
    </xf>
    <xf numFmtId="0" fontId="0" fillId="0" borderId="14" xfId="0" applyBorder="1" applyAlignment="1">
      <alignment wrapText="1"/>
    </xf>
    <xf numFmtId="0" fontId="4" fillId="2" borderId="0" xfId="6" quotePrefix="1" applyFont="1" applyFill="1" applyBorder="1" applyAlignment="1" applyProtection="1">
      <alignment vertical="top" wrapText="1"/>
    </xf>
    <xf numFmtId="0" fontId="14" fillId="2" borderId="54" xfId="0" applyFont="1" applyFill="1" applyBorder="1" applyAlignment="1">
      <alignment vertical="top" wrapText="1"/>
    </xf>
    <xf numFmtId="0" fontId="0" fillId="0" borderId="12" xfId="0" applyBorder="1" applyAlignment="1">
      <alignment vertical="top" wrapText="1"/>
    </xf>
    <xf numFmtId="0" fontId="0" fillId="0" borderId="42" xfId="0" applyBorder="1" applyAlignment="1">
      <alignment vertical="top" wrapText="1"/>
    </xf>
    <xf numFmtId="0" fontId="0" fillId="0" borderId="28" xfId="0" applyBorder="1" applyAlignment="1">
      <alignment vertical="top" wrapText="1"/>
    </xf>
  </cellXfs>
  <cellStyles count="10">
    <cellStyle name="_x000a_386grabber=M" xfId="4" xr:uid="{9AD27E03-3B21-4628-A83F-90B45641A07A}"/>
    <cellStyle name="AFE 2" xfId="6" xr:uid="{728CFC91-5721-4F59-9546-1CC2E4F29BF3}"/>
    <cellStyle name="Normal" xfId="0" builtinId="0"/>
    <cellStyle name="Normal_Ch01 Pics v2.2" xfId="7" xr:uid="{786EBEA4-C60C-44A2-B227-C2839B8B4A2D}"/>
    <cellStyle name="Normal_Ch02 Pics v1.0" xfId="3" xr:uid="{2055FF72-2C01-48CD-BE02-687A9C1D4464}"/>
    <cellStyle name="Normal_Ch03 Pics v1.0" xfId="1" xr:uid="{3CF46600-EB74-4658-9987-9236EF257117}"/>
    <cellStyle name="Normal_Implied Valuation Range" xfId="9" xr:uid="{4E411091-4C88-4002-BF10-62A7BDFB8934}"/>
    <cellStyle name="Normal_Input Page2" xfId="8" xr:uid="{037A3BA1-CAB2-45AF-9A15-2895C6D13C79}"/>
    <cellStyle name="Normal_PT" xfId="2" xr:uid="{144270A8-A1C3-4042-AAA2-7730BFEA6E71}"/>
    <cellStyle name="Percent 2" xfId="5" xr:uid="{E7307C83-D9EF-4695-8ADA-D841BFEAFD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6.0617030385873391E-2"/>
          <c:y val="4.2349367274331924E-2"/>
          <c:w val="0.92275142282508615"/>
          <c:h val="0.8774983417332729"/>
        </c:manualLayout>
      </c:layout>
      <c:barChart>
        <c:barDir val="col"/>
        <c:grouping val="stacked"/>
        <c:varyColors val="0"/>
        <c:ser>
          <c:idx val="0"/>
          <c:order val="0"/>
          <c:tx>
            <c:strRef>
              <c:f>'Precedent Football Field'!$M$2</c:f>
              <c:strCache>
                <c:ptCount val="1"/>
                <c:pt idx="0">
                  <c:v>Lower Value</c:v>
                </c:pt>
              </c:strCache>
            </c:strRef>
          </c:tx>
          <c:spPr>
            <a:noFill/>
            <a:ln>
              <a:noFill/>
            </a:ln>
          </c:spPr>
          <c:invertIfNegative val="0"/>
          <c:dLbls>
            <c:dLbl>
              <c:idx val="4"/>
              <c:layout>
                <c:manualLayout>
                  <c:x val="-3.622303119268846E-3"/>
                  <c:y val="-1.34439826645429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B7A-498F-BD0A-F5D55D7C9156}"/>
                </c:ext>
              </c:extLst>
            </c:dLbl>
            <c:spPr>
              <a:noFill/>
              <a:ln>
                <a:noFill/>
              </a:ln>
              <a:effectLst/>
            </c:spPr>
            <c:txPr>
              <a:bodyPr wrap="square" lIns="38100" tIns="19050" rIns="38100" bIns="19050" anchor="ctr">
                <a:spAutoFit/>
              </a:bodyPr>
              <a:lstStyle/>
              <a:p>
                <a:pPr>
                  <a:defRPr>
                    <a:latin typeface="Arial" panose="020B0604020202020204" pitchFamily="34" charset="0"/>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'Precedent Football Field'!$L$3:$L$10</c:f>
              <c:strCache>
                <c:ptCount val="8"/>
                <c:pt idx="0">
                  <c:v>LTM EV / Sales</c:v>
                </c:pt>
                <c:pt idx="1">
                  <c:v>LTM EV / EBITDA</c:v>
                </c:pt>
                <c:pt idx="2">
                  <c:v>LTM P/E </c:v>
                </c:pt>
                <c:pt idx="3">
                  <c:v>1 Yr. EV / Sales</c:v>
                </c:pt>
                <c:pt idx="4">
                  <c:v>1 Yr. EV / EBITDA</c:v>
                </c:pt>
                <c:pt idx="5">
                  <c:v>1 Yr. P/E</c:v>
                </c:pt>
                <c:pt idx="6">
                  <c:v>1 Day Premium to Public Share Prices</c:v>
                </c:pt>
                <c:pt idx="7">
                  <c:v>90 Day Premium to Public Share Prices</c:v>
                </c:pt>
              </c:strCache>
            </c:strRef>
          </c:cat>
          <c:val>
            <c:numRef>
              <c:f>'Precedent Football Field'!$M$3:$M$10</c:f>
              <c:numCache>
                <c:formatCode>"$"#,##0.00_);\("$"#,##0.00\);@_)</c:formatCode>
                <c:ptCount val="8"/>
                <c:pt idx="0">
                  <c:v>46.756384236568209</c:v>
                </c:pt>
                <c:pt idx="1">
                  <c:v>42.13273965980845</c:v>
                </c:pt>
                <c:pt idx="2">
                  <c:v>62.498671579881638</c:v>
                </c:pt>
                <c:pt idx="3">
                  <c:v>76.774374035803973</c:v>
                </c:pt>
                <c:pt idx="4">
                  <c:v>33.602029122172247</c:v>
                </c:pt>
                <c:pt idx="5">
                  <c:v>127.00252726580447</c:v>
                </c:pt>
                <c:pt idx="6" formatCode="&quot;$&quot;#,##0.00_);\(&quot;$&quot;#,##0.00\)">
                  <c:v>565.26844500000004</c:v>
                </c:pt>
                <c:pt idx="7" formatCode="&quot;$&quot;#,##0.00_);\(&quot;$&quot;#,##0.00\)">
                  <c:v>630.43344000000002</c:v>
                </c:pt>
              </c:numCache>
            </c:numRef>
          </c:val>
          <c:extLst>
            <c:ext xmlns:c16="http://schemas.microsoft.com/office/drawing/2014/chart" uri="{C3380CC4-5D6E-409C-BE32-E72D297353CC}">
              <c16:uniqueId val="{00000001-EB7A-498F-BD0A-F5D55D7C9156}"/>
            </c:ext>
          </c:extLst>
        </c:ser>
        <c:ser>
          <c:idx val="1"/>
          <c:order val="1"/>
          <c:tx>
            <c:strRef>
              <c:f>'Precedent Football Field'!$N$2</c:f>
              <c:strCache>
                <c:ptCount val="1"/>
                <c:pt idx="0">
                  <c:v>Column Value</c:v>
                </c:pt>
              </c:strCache>
            </c:strRef>
          </c:tx>
          <c:spPr>
            <a:solidFill>
              <a:srgbClr val="70AD47">
                <a:lumMod val="60000"/>
                <a:lumOff val="40000"/>
              </a:srgbClr>
            </a:solidFill>
          </c:spPr>
          <c:invertIfNegative val="0"/>
          <c:dLbls>
            <c:numFmt formatCode=";;;"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'Precedent Football Field'!$L$3:$L$10</c:f>
              <c:strCache>
                <c:ptCount val="8"/>
                <c:pt idx="0">
                  <c:v>LTM EV / Sales</c:v>
                </c:pt>
                <c:pt idx="1">
                  <c:v>LTM EV / EBITDA</c:v>
                </c:pt>
                <c:pt idx="2">
                  <c:v>LTM P/E </c:v>
                </c:pt>
                <c:pt idx="3">
                  <c:v>1 Yr. EV / Sales</c:v>
                </c:pt>
                <c:pt idx="4">
                  <c:v>1 Yr. EV / EBITDA</c:v>
                </c:pt>
                <c:pt idx="5">
                  <c:v>1 Yr. P/E</c:v>
                </c:pt>
                <c:pt idx="6">
                  <c:v>1 Day Premium to Public Share Prices</c:v>
                </c:pt>
                <c:pt idx="7">
                  <c:v>90 Day Premium to Public Share Prices</c:v>
                </c:pt>
              </c:strCache>
            </c:strRef>
          </c:cat>
          <c:val>
            <c:numRef>
              <c:f>'Precedent Football Field'!$N$3:$N$10</c:f>
              <c:numCache>
                <c:formatCode>"$"#,##0.00_);\("$"#,##0.00\);@_)</c:formatCode>
                <c:ptCount val="8"/>
                <c:pt idx="0">
                  <c:v>27.923870980252417</c:v>
                </c:pt>
                <c:pt idx="1">
                  <c:v>24.152101515400275</c:v>
                </c:pt>
                <c:pt idx="2">
                  <c:v>14.01474428970679</c:v>
                </c:pt>
                <c:pt idx="3">
                  <c:v>47.58459952355777</c:v>
                </c:pt>
                <c:pt idx="4">
                  <c:v>30.512905166804465</c:v>
                </c:pt>
                <c:pt idx="5">
                  <c:v>68.537973786267315</c:v>
                </c:pt>
                <c:pt idx="6">
                  <c:v>70.577369999999974</c:v>
                </c:pt>
                <c:pt idx="7">
                  <c:v>0</c:v>
                </c:pt>
              </c:numCache>
            </c:numRef>
          </c:val>
          <c:extLst>
            <c:ext xmlns:c16="http://schemas.microsoft.com/office/drawing/2014/chart" uri="{C3380CC4-5D6E-409C-BE32-E72D297353CC}">
              <c16:uniqueId val="{00000002-EB7A-498F-BD0A-F5D55D7C9156}"/>
            </c:ext>
          </c:extLst>
        </c:ser>
        <c:ser>
          <c:idx val="2"/>
          <c:order val="2"/>
          <c:tx>
            <c:strRef>
              <c:f>'Precedent Football Field'!$O$2</c:f>
              <c:strCache>
                <c:ptCount val="1"/>
                <c:pt idx="0">
                  <c:v>Upper Value</c:v>
                </c:pt>
              </c:strCache>
            </c:strRef>
          </c:tx>
          <c:spPr>
            <a:noFill/>
            <a:ln>
              <a:noFill/>
            </a:ln>
          </c:spPr>
          <c:invertIfNegative val="0"/>
          <c:dLbls>
            <c:spPr>
              <a:noFill/>
              <a:ln>
                <a:noFill/>
              </a:ln>
              <a:effectLst/>
            </c:spPr>
            <c:txPr>
              <a:bodyPr wrap="square" lIns="38100" tIns="19050" rIns="38100" bIns="19050" anchor="ctr">
                <a:spAutoFit/>
              </a:bodyPr>
              <a:lstStyle/>
              <a:p>
                <a:pPr>
                  <a:defRPr>
                    <a:latin typeface="Arial" panose="020B0604020202020204" pitchFamily="34" charset="0"/>
                    <a:cs typeface="Arial" panose="020B0604020202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'Precedent Football Field'!$L$3:$L$10</c:f>
              <c:strCache>
                <c:ptCount val="8"/>
                <c:pt idx="0">
                  <c:v>LTM EV / Sales</c:v>
                </c:pt>
                <c:pt idx="1">
                  <c:v>LTM EV / EBITDA</c:v>
                </c:pt>
                <c:pt idx="2">
                  <c:v>LTM P/E </c:v>
                </c:pt>
                <c:pt idx="3">
                  <c:v>1 Yr. EV / Sales</c:v>
                </c:pt>
                <c:pt idx="4">
                  <c:v>1 Yr. EV / EBITDA</c:v>
                </c:pt>
                <c:pt idx="5">
                  <c:v>1 Yr. P/E</c:v>
                </c:pt>
                <c:pt idx="6">
                  <c:v>1 Day Premium to Public Share Prices</c:v>
                </c:pt>
                <c:pt idx="7">
                  <c:v>90 Day Premium to Public Share Prices</c:v>
                </c:pt>
              </c:strCache>
            </c:strRef>
          </c:cat>
          <c:val>
            <c:numRef>
              <c:f>'Precedent Football Field'!$O$3:$O$10</c:f>
              <c:numCache>
                <c:formatCode>"$"#,##0.00_);\("$"#,##0.00\);@_)</c:formatCode>
                <c:ptCount val="8"/>
                <c:pt idx="0">
                  <c:v>74.680255216820626</c:v>
                </c:pt>
                <c:pt idx="1">
                  <c:v>66.284841175208726</c:v>
                </c:pt>
                <c:pt idx="2">
                  <c:v>76.513415869588428</c:v>
                </c:pt>
                <c:pt idx="3">
                  <c:v>124.35897355936174</c:v>
                </c:pt>
                <c:pt idx="4">
                  <c:v>64.114934288976713</c:v>
                </c:pt>
                <c:pt idx="5">
                  <c:v>195.54050105207179</c:v>
                </c:pt>
                <c:pt idx="6">
                  <c:v>635.84581500000002</c:v>
                </c:pt>
                <c:pt idx="7">
                  <c:v>630.43344000000002</c:v>
                </c:pt>
              </c:numCache>
            </c:numRef>
          </c:val>
          <c:extLst>
            <c:ext xmlns:c16="http://schemas.microsoft.com/office/drawing/2014/chart" uri="{C3380CC4-5D6E-409C-BE32-E72D297353CC}">
              <c16:uniqueId val="{00000003-EB7A-498F-BD0A-F5D55D7C9156}"/>
            </c:ext>
          </c:extLst>
        </c:ser>
        <c:dLbls>
          <c:showLegendKey val="0"/>
          <c:showVal val="0"/>
          <c:showCatName val="0"/>
          <c:showSerName val="0"/>
          <c:showPercent val="0"/>
          <c:showBubbleSize val="0"/>
        </c:dLbls>
        <c:gapWidth val="75"/>
        <c:overlap val="100"/>
        <c:axId val="291755664"/>
        <c:axId val="291759976"/>
      </c:barChart>
      <c:catAx>
        <c:axId val="291755664"/>
        <c:scaling>
          <c:orientation val="minMax"/>
        </c:scaling>
        <c:delete val="0"/>
        <c:axPos val="b"/>
        <c:numFmt formatCode="General" sourceLinked="1"/>
        <c:majorTickMark val="none"/>
        <c:minorTickMark val="none"/>
        <c:tickLblPos val="nextTo"/>
        <c:txPr>
          <a:bodyPr/>
          <a:lstStyle/>
          <a:p>
            <a:pPr>
              <a:defRPr>
                <a:latin typeface="Arial" panose="020B0604020202020204" pitchFamily="34" charset="0"/>
                <a:cs typeface="Arial" panose="020B0604020202020204" pitchFamily="34" charset="0"/>
              </a:defRPr>
            </a:pPr>
            <a:endParaRPr lang="en-US"/>
          </a:p>
        </c:txPr>
        <c:crossAx val="291759976"/>
        <c:crosses val="autoZero"/>
        <c:auto val="1"/>
        <c:lblAlgn val="ctr"/>
        <c:lblOffset val="100"/>
        <c:noMultiLvlLbl val="0"/>
      </c:catAx>
      <c:valAx>
        <c:axId val="291759976"/>
        <c:scaling>
          <c:orientation val="minMax"/>
          <c:max val="640"/>
          <c:min val="0"/>
        </c:scaling>
        <c:delete val="0"/>
        <c:axPos val="l"/>
        <c:majorGridlines/>
        <c:numFmt formatCode="&quot;$&quot;#,##0.00_);\(&quot;$&quot;#,##0.00\);@_)" sourceLinked="1"/>
        <c:majorTickMark val="none"/>
        <c:minorTickMark val="none"/>
        <c:tickLblPos val="nextTo"/>
        <c:spPr>
          <a:ln>
            <a:noFill/>
          </a:ln>
        </c:spPr>
        <c:txPr>
          <a:bodyPr/>
          <a:lstStyle/>
          <a:p>
            <a:pPr>
              <a:defRPr>
                <a:latin typeface="Arial" panose="020B0604020202020204" pitchFamily="34" charset="0"/>
                <a:cs typeface="Arial" panose="020B0604020202020204" pitchFamily="34" charset="0"/>
              </a:defRPr>
            </a:pPr>
            <a:endParaRPr lang="en-US"/>
          </a:p>
        </c:txPr>
        <c:crossAx val="291755664"/>
        <c:crosses val="autoZero"/>
        <c:crossBetween val="between"/>
        <c:majorUnit val="50"/>
      </c:valAx>
      <c:spPr>
        <a:ln>
          <a:solidFill>
            <a:srgbClr val="5B9BD5"/>
          </a:solidFill>
        </a:ln>
      </c:spPr>
    </c:plotArea>
    <c:plotVisOnly val="1"/>
    <c:dispBlanksAs val="gap"/>
    <c:showDLblsOverMax val="0"/>
  </c:chart>
  <c:spPr>
    <a:ln w="0">
      <a:noFill/>
    </a:ln>
  </c:spPr>
  <c:txPr>
    <a:bodyPr/>
    <a:lstStyle/>
    <a:p>
      <a:pPr>
        <a:defRPr>
          <a:latin typeface="Bookman Old Style" pitchFamily="18" charset="0"/>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xdr:row>
      <xdr:rowOff>123825</xdr:rowOff>
    </xdr:from>
    <xdr:to>
      <xdr:col>20</xdr:col>
      <xdr:colOff>589491</xdr:colOff>
      <xdr:row>32</xdr:row>
      <xdr:rowOff>136977</xdr:rowOff>
    </xdr:to>
    <xdr:graphicFrame macro="">
      <xdr:nvGraphicFramePr>
        <xdr:cNvPr id="2" name="Chart 1">
          <a:extLst>
            <a:ext uri="{FF2B5EF4-FFF2-40B4-BE49-F238E27FC236}">
              <a16:creationId xmlns:a16="http://schemas.microsoft.com/office/drawing/2014/main" id="{4C77E795-CB31-45A0-A50D-830E037F8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66EAD-63DE-4000-A078-9543569CC015}">
  <sheetPr>
    <tabColor theme="9" tint="-0.249977111117893"/>
  </sheetPr>
  <dimension ref="A1:AE20"/>
  <sheetViews>
    <sheetView showGridLines="0" zoomScaleNormal="100" workbookViewId="0">
      <selection activeCell="E31" sqref="E31"/>
    </sheetView>
  </sheetViews>
  <sheetFormatPr defaultRowHeight="15"/>
  <cols>
    <col min="1" max="1" width="18.5703125" customWidth="1"/>
    <col min="2" max="2" width="18.85546875" bestFit="1" customWidth="1"/>
    <col min="3" max="3" width="11.28515625" bestFit="1" customWidth="1"/>
    <col min="4" max="4" width="13.140625" bestFit="1" customWidth="1"/>
    <col min="5" max="5" width="13.7109375" bestFit="1" customWidth="1"/>
    <col min="6" max="6" width="11.5703125" bestFit="1" customWidth="1"/>
    <col min="7" max="7" width="11.140625" bestFit="1" customWidth="1"/>
    <col min="9" max="9" width="12.140625" bestFit="1" customWidth="1"/>
    <col min="10" max="10" width="11.5703125" bestFit="1" customWidth="1"/>
    <col min="11" max="11" width="7.28515625" bestFit="1" customWidth="1"/>
  </cols>
  <sheetData>
    <row r="1" spans="1:31" ht="20.25">
      <c r="A1" s="13" t="s">
        <v>0</v>
      </c>
      <c r="B1" s="14"/>
      <c r="C1" s="14"/>
      <c r="D1" s="14"/>
      <c r="E1" s="14"/>
      <c r="F1" s="14"/>
      <c r="G1" s="14"/>
      <c r="H1" s="14"/>
      <c r="I1" s="14"/>
      <c r="J1" s="14"/>
      <c r="K1" s="14"/>
      <c r="L1" s="14"/>
      <c r="M1" s="14"/>
      <c r="N1" s="14"/>
      <c r="O1" s="14"/>
      <c r="P1" s="14"/>
      <c r="Q1" s="14"/>
      <c r="R1" s="14"/>
      <c r="S1" s="14"/>
      <c r="T1" s="14"/>
      <c r="U1" s="14"/>
      <c r="V1" s="14"/>
      <c r="W1" s="14"/>
      <c r="X1" s="14"/>
      <c r="Y1" s="14"/>
      <c r="Z1" s="15"/>
      <c r="AA1" s="15"/>
      <c r="AB1" s="15"/>
      <c r="AC1" s="15"/>
      <c r="AD1" s="15"/>
      <c r="AE1" s="15"/>
    </row>
    <row r="2" spans="1:31">
      <c r="A2" s="16" t="s">
        <v>1</v>
      </c>
      <c r="B2" s="14"/>
      <c r="C2" s="14"/>
      <c r="D2" s="14"/>
      <c r="E2" s="14"/>
      <c r="F2" s="14"/>
      <c r="G2" s="14"/>
      <c r="H2" s="14"/>
      <c r="I2" s="14"/>
      <c r="J2" s="14"/>
      <c r="K2" s="14"/>
      <c r="L2" s="12"/>
      <c r="M2" s="12"/>
      <c r="N2" s="12"/>
      <c r="O2" s="12"/>
      <c r="P2" s="12"/>
      <c r="Q2" s="12"/>
      <c r="R2" s="12"/>
      <c r="S2" s="12"/>
      <c r="T2" s="12"/>
      <c r="U2" s="14"/>
      <c r="V2" s="14"/>
      <c r="W2" s="14"/>
      <c r="X2" s="14"/>
      <c r="Y2" s="14"/>
      <c r="Z2" s="14"/>
      <c r="AA2" s="14"/>
      <c r="AB2" s="14"/>
      <c r="AC2" s="14"/>
      <c r="AD2" s="14"/>
      <c r="AE2" s="14"/>
    </row>
    <row r="3" spans="1:31">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row>
    <row r="4" spans="1:31">
      <c r="A4" s="17" t="s">
        <v>2</v>
      </c>
      <c r="B4" s="18"/>
      <c r="C4" s="18"/>
      <c r="D4" s="18"/>
      <c r="E4" s="18"/>
      <c r="F4" s="18"/>
      <c r="G4" s="18"/>
      <c r="H4" s="18"/>
      <c r="I4" s="18"/>
      <c r="J4" s="18"/>
      <c r="K4" s="19" t="s">
        <v>3</v>
      </c>
      <c r="L4" s="18"/>
      <c r="M4" s="18"/>
      <c r="N4" s="18"/>
      <c r="O4" s="18"/>
      <c r="P4" s="18"/>
      <c r="Q4" s="18"/>
      <c r="R4" s="18"/>
      <c r="S4" s="20"/>
      <c r="T4" s="21" t="s">
        <v>4</v>
      </c>
      <c r="U4" s="18"/>
      <c r="V4" s="18"/>
      <c r="W4" s="18"/>
      <c r="X4" s="18"/>
      <c r="Y4" s="18"/>
      <c r="Z4" s="22" t="s">
        <v>5</v>
      </c>
      <c r="AA4" s="23"/>
      <c r="AB4" s="23"/>
      <c r="AC4" s="21" t="s">
        <v>6</v>
      </c>
      <c r="AD4" s="18"/>
      <c r="AE4" s="24"/>
    </row>
    <row r="5" spans="1:31">
      <c r="A5" s="25"/>
      <c r="B5" s="26"/>
      <c r="C5" s="27" t="s">
        <v>7</v>
      </c>
      <c r="D5" s="26" t="s">
        <v>8</v>
      </c>
      <c r="E5" s="26" t="s">
        <v>9</v>
      </c>
      <c r="F5" s="26" t="s">
        <v>8</v>
      </c>
      <c r="G5" s="28" t="s">
        <v>10</v>
      </c>
      <c r="H5" s="28" t="s">
        <v>11</v>
      </c>
      <c r="I5" s="26" t="s">
        <v>12</v>
      </c>
      <c r="J5" s="26" t="s">
        <v>8</v>
      </c>
      <c r="K5" s="29"/>
      <c r="L5" s="28" t="s">
        <v>13</v>
      </c>
      <c r="M5" s="28"/>
      <c r="N5" s="28"/>
      <c r="O5" s="28"/>
      <c r="P5" s="28" t="s">
        <v>13</v>
      </c>
      <c r="Q5" s="28" t="s">
        <v>14</v>
      </c>
      <c r="R5" s="28" t="s">
        <v>15</v>
      </c>
      <c r="S5" s="30" t="s">
        <v>16</v>
      </c>
      <c r="T5" s="31" t="s">
        <v>17</v>
      </c>
      <c r="U5" s="32"/>
      <c r="V5" s="32" t="s">
        <v>18</v>
      </c>
      <c r="W5" s="32"/>
      <c r="X5" s="32" t="s">
        <v>19</v>
      </c>
      <c r="Y5" s="32"/>
      <c r="Z5" s="33" t="s">
        <v>17</v>
      </c>
      <c r="AA5" s="34" t="s">
        <v>20</v>
      </c>
      <c r="AB5" s="35" t="s">
        <v>21</v>
      </c>
      <c r="AC5" s="36" t="s">
        <v>22</v>
      </c>
      <c r="AD5" s="32"/>
      <c r="AE5" s="37"/>
    </row>
    <row r="6" spans="1:31">
      <c r="A6" s="38" t="s">
        <v>23</v>
      </c>
      <c r="B6" s="39" t="s">
        <v>24</v>
      </c>
      <c r="C6" s="40" t="s">
        <v>25</v>
      </c>
      <c r="D6" s="39" t="s">
        <v>26</v>
      </c>
      <c r="E6" s="39" t="s">
        <v>27</v>
      </c>
      <c r="F6" s="39" t="s">
        <v>28</v>
      </c>
      <c r="G6" s="39" t="s">
        <v>29</v>
      </c>
      <c r="H6" s="39" t="s">
        <v>30</v>
      </c>
      <c r="I6" s="40" t="s">
        <v>31</v>
      </c>
      <c r="J6" s="39" t="s">
        <v>32</v>
      </c>
      <c r="K6" s="41" t="s">
        <v>33</v>
      </c>
      <c r="L6" s="41" t="s">
        <v>34</v>
      </c>
      <c r="M6" s="41" t="s">
        <v>14</v>
      </c>
      <c r="N6" s="41" t="s">
        <v>15</v>
      </c>
      <c r="O6" s="41" t="s">
        <v>35</v>
      </c>
      <c r="P6" s="41" t="s">
        <v>36</v>
      </c>
      <c r="Q6" s="41" t="s">
        <v>36</v>
      </c>
      <c r="R6" s="41" t="s">
        <v>36</v>
      </c>
      <c r="S6" s="42" t="s">
        <v>36</v>
      </c>
      <c r="T6" s="43" t="s">
        <v>33</v>
      </c>
      <c r="U6" s="39" t="s">
        <v>14</v>
      </c>
      <c r="V6" s="39" t="s">
        <v>33</v>
      </c>
      <c r="W6" s="39" t="s">
        <v>14</v>
      </c>
      <c r="X6" s="39" t="s">
        <v>33</v>
      </c>
      <c r="Y6" s="39" t="s">
        <v>14</v>
      </c>
      <c r="Z6" s="43" t="s">
        <v>35</v>
      </c>
      <c r="AA6" s="39" t="s">
        <v>35</v>
      </c>
      <c r="AB6" s="44" t="s">
        <v>35</v>
      </c>
      <c r="AC6" s="39">
        <v>1</v>
      </c>
      <c r="AD6" s="39">
        <v>30</v>
      </c>
      <c r="AE6" s="45">
        <v>90</v>
      </c>
    </row>
    <row r="7" spans="1:31">
      <c r="A7" s="46" t="s">
        <v>37</v>
      </c>
      <c r="B7" s="47" t="str">
        <f ca="1">IFERROR(INDIRECT("'"&amp;A7&amp;"'!"&amp;"E6"),)</f>
        <v>AMD</v>
      </c>
      <c r="C7" s="48" cm="1">
        <f t="array" aca="1" ref="C7" ca="1">INDIRECT("'"&amp;$A7&amp;"'!"&amp;"E7")</f>
        <v>44130</v>
      </c>
      <c r="D7" s="48" t="str">
        <f ca="1">IFERROR(INDIRECT("'"&amp;$A7&amp;"'!"&amp;"E12"),"NM")</f>
        <v>Public / Public</v>
      </c>
      <c r="E7" s="48" t="str">
        <f ca="1">IFERROR(INDIRECT("'"&amp;$A7&amp;"'!"&amp;"E13"),"NM")</f>
        <v>Shares / Cash</v>
      </c>
      <c r="F7" s="48" t="str">
        <f ca="1">IFERROR(INDIRECT("'"&amp;$A7&amp;"'!"&amp;"E10"),"NM")</f>
        <v>Completed</v>
      </c>
      <c r="G7" s="49">
        <f ca="1">IFERROR(INDIRECT("'"&amp;$A7&amp;"'!"&amp;"E14"),"NM")</f>
        <v>1</v>
      </c>
      <c r="H7" s="49" t="str">
        <f ca="1">IFERROR(INDIRECT("'"&amp;$A7&amp;"'!"&amp;"E9"),"NM")</f>
        <v>USD</v>
      </c>
      <c r="I7" s="50">
        <f ca="1">IFERROR(INDIRECT("'"&amp;$A7&amp;"'!"&amp;"T11"),"NM")</f>
        <v>32828.615749999997</v>
      </c>
      <c r="J7" s="50">
        <f ca="1">IFERROR(INDIRECT("'"&amp;$A7&amp;"'!"&amp;"T17"),"NM")</f>
        <v>30895.615749999997</v>
      </c>
      <c r="K7" s="50">
        <f ca="1">IFERROR(INDIRECT("'"&amp;$A7&amp;"'!"&amp;"N8"),"NM")</f>
        <v>3676</v>
      </c>
      <c r="L7" s="50">
        <f ca="1">IFERROR(INDIRECT("'"&amp;$A7&amp;"'!"&amp;"N10"),"NM")</f>
        <v>2513</v>
      </c>
      <c r="M7" s="50">
        <f ca="1">IFERROR(INDIRECT("'"&amp;$A7&amp;"'!"&amp;"N44"),"NM")</f>
        <v>1444.0220000000002</v>
      </c>
      <c r="N7" s="50">
        <f ca="1">IFERROR(INDIRECT("'"&amp;$A7&amp;"'!"&amp;"N39"),"NM")</f>
        <v>1250.3220000000001</v>
      </c>
      <c r="O7" s="51">
        <f ca="1">IFERROR(INDIRECT("'"&amp;$A7&amp;"'!"&amp;"N57"),"NM")</f>
        <v>4.6044080000000003</v>
      </c>
      <c r="P7" s="52">
        <f ca="1">IFERROR(INDIRECT("'"&amp;$A7&amp;"'!"&amp;"N31"),"NM")</f>
        <v>0.68362350380848746</v>
      </c>
      <c r="Q7" s="52">
        <f ca="1">IFERROR(INDIRECT("'"&amp;$A7&amp;"'!"&amp;"N45"),"NM")</f>
        <v>0.39282426550598482</v>
      </c>
      <c r="R7" s="52">
        <f ca="1">IFERROR(INDIRECT("'"&amp;$A7&amp;"'!"&amp;"N40"),"NM")</f>
        <v>0.34013112078346031</v>
      </c>
      <c r="S7" s="53">
        <f ca="1">IFERROR(INDIRECT("'"&amp;$A7&amp;"'!"&amp;"N53"),"NM")</f>
        <v>0.31313982589771494</v>
      </c>
      <c r="T7" s="54">
        <f ca="1">IFERROR(INDIRECT("'"&amp;$A7&amp;"'!"&amp;"R49"),"NM")</f>
        <v>8.4046832834602814</v>
      </c>
      <c r="U7" s="55">
        <f ca="1">IFERROR(INDIRECT("'"&amp;$A7&amp;"'!"&amp;"R50"),"NM")</f>
        <v>21.395529811872667</v>
      </c>
      <c r="V7" s="55">
        <f ca="1">IFERROR(INDIRECT("'"&amp;$A7&amp;"'!"&amp;"S49"),"NM")</f>
        <v>8.6883058914510674</v>
      </c>
      <c r="W7" s="55">
        <f ca="1">IFERROR(INDIRECT("'"&amp;$A7&amp;"'!"&amp;"S50"),"NM")</f>
        <v>27.462769555555553</v>
      </c>
      <c r="X7" s="55">
        <f ca="1">IFERROR(INDIRECT("'"&amp;$A7&amp;"'!"&amp;"T49"),"NM")</f>
        <v>7.609757573891625</v>
      </c>
      <c r="Y7" s="55">
        <f ca="1">IFERROR(INDIRECT("'"&amp;$A7&amp;"'!"&amp;"T50"),"NM")</f>
        <v>23.566449847444698</v>
      </c>
      <c r="Z7" s="56">
        <f ca="1">IFERROR(INDIRECT("'"&amp;$A7&amp;"'!"&amp;"R52"),"NM")</f>
        <v>29.101319865659168</v>
      </c>
      <c r="AA7" s="55">
        <f ca="1">IFERROR(INDIRECT("'"&amp;$A7&amp;"'!"&amp;"S52"),"NM")</f>
        <v>36.710780821917808</v>
      </c>
      <c r="AB7" s="57">
        <f ca="1">IFERROR(INDIRECT("'"&amp;$A7&amp;"'!"&amp;"T52"),"NM")</f>
        <v>30.592317351598172</v>
      </c>
      <c r="AC7" s="49">
        <f ca="1">IFERROR(INDIRECT("'"&amp;$A7&amp;"'!"&amp;"T59"),"NM")</f>
        <v>0.37000000000000011</v>
      </c>
      <c r="AD7" s="49">
        <f ca="1">IFERROR(INDIRECT("'"&amp;$A7&amp;"'!"&amp;"T60"),"NM")</f>
        <v>0.39999999999999991</v>
      </c>
      <c r="AE7" s="58" t="str">
        <f ca="1">IFERROR(INDIRECT("'"&amp;$A7&amp;"'!"&amp;"T61"),"NM")</f>
        <v>NA</v>
      </c>
    </row>
    <row r="8" spans="1:31">
      <c r="A8" s="46" t="s">
        <v>38</v>
      </c>
      <c r="B8" s="47" t="str">
        <f t="shared" ref="B8:B10" ca="1" si="0">IFERROR(INDIRECT("'"&amp;A8&amp;"'!"&amp;"E6"),)</f>
        <v>Intel</v>
      </c>
      <c r="C8" s="48" cm="1">
        <f t="array" aca="1" ref="C8" ca="1">INDIRECT("'"&amp;$A8&amp;"'!"&amp;"E7")</f>
        <v>44607</v>
      </c>
      <c r="D8" s="48" t="str">
        <f t="shared" ref="D8:D10" ca="1" si="1">IFERROR(INDIRECT("'"&amp;$A8&amp;"'!"&amp;"E12"),"NM")</f>
        <v>Public / Public</v>
      </c>
      <c r="E8" s="48" t="str">
        <f t="shared" ref="E8:E10" ca="1" si="2">IFERROR(INDIRECT("'"&amp;$A8&amp;"'!"&amp;"E13"),"NM")</f>
        <v>Cash</v>
      </c>
      <c r="F8" s="48" t="str">
        <f t="shared" ref="F8:F10" ca="1" si="3">IFERROR(INDIRECT("'"&amp;$A8&amp;"'!"&amp;"E10"),"NM")</f>
        <v>Pending</v>
      </c>
      <c r="G8" s="49">
        <f t="shared" ref="G8:G10" ca="1" si="4">IFERROR(INDIRECT("'"&amp;$A8&amp;"'!"&amp;"E14"),"NM")</f>
        <v>1</v>
      </c>
      <c r="H8" s="49" t="str">
        <f t="shared" ref="H8:H10" ca="1" si="5">IFERROR(INDIRECT("'"&amp;$A8&amp;"'!"&amp;"E9"),"NM")</f>
        <v>USD</v>
      </c>
      <c r="I8" s="50">
        <f t="shared" ref="I8:I10" ca="1" si="6">IFERROR(INDIRECT("'"&amp;$A8&amp;"'!"&amp;"T11"),"NM")</f>
        <v>5831.5769600000003</v>
      </c>
      <c r="J8" s="50">
        <f t="shared" ref="J8:J10" ca="1" si="7">IFERROR(INDIRECT("'"&amp;$A8&amp;"'!"&amp;"T17"),"NM")</f>
        <v>5208.1769600000007</v>
      </c>
      <c r="K8" s="50">
        <f t="shared" ref="K8:K10" ca="1" si="8">IFERROR(INDIRECT("'"&amp;$A8&amp;"'!"&amp;"N8"),"NM")</f>
        <v>1752</v>
      </c>
      <c r="L8" s="50">
        <f t="shared" ref="L8:L10" ca="1" si="9">IFERROR(INDIRECT("'"&amp;$A8&amp;"'!"&amp;"N10"),"NM")</f>
        <v>501</v>
      </c>
      <c r="M8" s="50">
        <f t="shared" ref="M8:M10" ca="1" si="10">IFERROR(INDIRECT("'"&amp;$A8&amp;"'!"&amp;"N44"),"NM")</f>
        <v>666</v>
      </c>
      <c r="N8" s="50">
        <f t="shared" ref="N8:N10" ca="1" si="11">IFERROR(INDIRECT("'"&amp;$A8&amp;"'!"&amp;"N39"),"NM")</f>
        <v>366</v>
      </c>
      <c r="O8" s="51">
        <f t="shared" ref="O8:O10" ca="1" si="12">IFERROR(INDIRECT("'"&amp;$A8&amp;"'!"&amp;"N57"),"NM")</f>
        <v>2.7411504424778763</v>
      </c>
      <c r="P8" s="52">
        <f t="shared" ref="P8:P10" ca="1" si="13">IFERROR(INDIRECT("'"&amp;$A8&amp;"'!"&amp;"N31"),"NM")</f>
        <v>0.28595890410958902</v>
      </c>
      <c r="Q8" s="52">
        <f t="shared" ref="Q8:Q10" ca="1" si="14">IFERROR(INDIRECT("'"&amp;$A8&amp;"'!"&amp;"N45"),"NM")</f>
        <v>0.38013698630136988</v>
      </c>
      <c r="R8" s="52">
        <f t="shared" ref="R8:R10" ca="1" si="15">IFERROR(INDIRECT("'"&amp;$A8&amp;"'!"&amp;"N40"),"NM")</f>
        <v>0.2089041095890411</v>
      </c>
      <c r="S8" s="53">
        <f t="shared" ref="S8:S10" ca="1" si="16">IFERROR(INDIRECT("'"&amp;$A8&amp;"'!"&amp;"N53"),"NM")</f>
        <v>0.17679794520547945</v>
      </c>
      <c r="T8" s="54">
        <f t="shared" ref="T8:T10" ca="1" si="17">IFERROR(INDIRECT("'"&amp;$A8&amp;"'!"&amp;"R49"),"NM")</f>
        <v>2.9727037442922377</v>
      </c>
      <c r="U8" s="55">
        <f t="shared" ref="U8:U10" ca="1" si="18">IFERROR(INDIRECT("'"&amp;$A8&amp;"'!"&amp;"R50"),"NM")</f>
        <v>7.8200855255255268</v>
      </c>
      <c r="V8" s="55">
        <f t="shared" ref="V8:V10" ca="1" si="19">IFERROR(INDIRECT("'"&amp;$A8&amp;"'!"&amp;"S49"),"NM")</f>
        <v>3.021784139940888</v>
      </c>
      <c r="W8" s="55">
        <f t="shared" ref="W8:W10" ca="1" si="20">IFERROR(INDIRECT("'"&amp;$A8&amp;"'!"&amp;"S50"),"NM")</f>
        <v>5.7368905442834706</v>
      </c>
      <c r="X8" s="55">
        <f t="shared" ref="X8:X10" ca="1" si="21">IFERROR(INDIRECT("'"&amp;$A8&amp;"'!"&amp;"T49"),"NM")</f>
        <v>2.9419351783569829</v>
      </c>
      <c r="Y8" s="55">
        <f t="shared" ref="Y8:Y10" ca="1" si="22">IFERROR(INDIRECT("'"&amp;$A8&amp;"'!"&amp;"T50"),"NM")</f>
        <v>5.6333394190591788</v>
      </c>
      <c r="Z8" s="56">
        <f t="shared" ref="Z8:Z10" ca="1" si="23">IFERROR(INDIRECT("'"&amp;$A8&amp;"'!"&amp;"R52"),"NM")</f>
        <v>19.334947538337367</v>
      </c>
      <c r="AA8" s="55">
        <f t="shared" ref="AA8:AA10" ca="1" si="24">IFERROR(INDIRECT("'"&amp;$A8&amp;"'!"&amp;"S52"),"NM")</f>
        <v>22.746781115879827</v>
      </c>
      <c r="AB8" s="57">
        <f t="shared" ref="AB8:AB10" ca="1" si="25">IFERROR(INDIRECT("'"&amp;$A8&amp;"'!"&amp;"T52"),"NM")</f>
        <v>21.031746031746032</v>
      </c>
      <c r="AC8" s="49" t="str">
        <f t="shared" ref="AC8:AC10" ca="1" si="26">IFERROR(INDIRECT("'"&amp;$A8&amp;"'!"&amp;"T59"),"NM")</f>
        <v>NA</v>
      </c>
      <c r="AD8" s="49" t="str">
        <f t="shared" ref="AD8:AD10" ca="1" si="27">IFERROR(INDIRECT("'"&amp;$A8&amp;"'!"&amp;"T60"),"NM")</f>
        <v>NA</v>
      </c>
      <c r="AE8" s="58" t="str">
        <f t="shared" ref="AE8:AE10" ca="1" si="28">IFERROR(INDIRECT("'"&amp;$A8&amp;"'!"&amp;"T61"),"NM")</f>
        <v>NA</v>
      </c>
    </row>
    <row r="9" spans="1:31">
      <c r="A9" s="46" t="s">
        <v>39</v>
      </c>
      <c r="B9" s="47" t="str">
        <f t="shared" ca="1" si="0"/>
        <v>Analog Devices Inc.</v>
      </c>
      <c r="C9" s="48" cm="1">
        <f t="array" aca="1" ref="C9" ca="1">INDIRECT("'"&amp;$A9&amp;"'!"&amp;"E7")</f>
        <v>44024</v>
      </c>
      <c r="D9" s="48" t="str">
        <f t="shared" ca="1" si="1"/>
        <v>Public / Public</v>
      </c>
      <c r="E9" s="48" t="str">
        <f t="shared" ca="1" si="2"/>
        <v>Shares / Cash</v>
      </c>
      <c r="F9" s="48" t="str">
        <f t="shared" ca="1" si="3"/>
        <v>Completed</v>
      </c>
      <c r="G9" s="49">
        <f t="shared" ca="1" si="4"/>
        <v>1</v>
      </c>
      <c r="H9" s="49" t="str">
        <f t="shared" ca="1" si="5"/>
        <v>USD</v>
      </c>
      <c r="I9" s="50">
        <f t="shared" ca="1" si="6"/>
        <v>19995.421320000001</v>
      </c>
      <c r="J9" s="50">
        <f t="shared" ca="1" si="7"/>
        <v>19431.421320000001</v>
      </c>
      <c r="K9" s="50">
        <f t="shared" ca="1" si="8"/>
        <v>2808</v>
      </c>
      <c r="L9" s="50">
        <f t="shared" ca="1" si="9"/>
        <v>1883</v>
      </c>
      <c r="M9" s="50">
        <f t="shared" ca="1" si="10"/>
        <v>1240</v>
      </c>
      <c r="N9" s="50">
        <f t="shared" ca="1" si="11"/>
        <v>1156</v>
      </c>
      <c r="O9" s="51">
        <f t="shared" ca="1" si="12"/>
        <v>3.5016483516483516</v>
      </c>
      <c r="P9" s="52">
        <f t="shared" ca="1" si="13"/>
        <v>0.67058404558404561</v>
      </c>
      <c r="Q9" s="52">
        <f t="shared" ca="1" si="14"/>
        <v>0.44159544159544162</v>
      </c>
      <c r="R9" s="52">
        <f t="shared" ca="1" si="15"/>
        <v>0.4116809116809117</v>
      </c>
      <c r="S9" s="53">
        <f t="shared" ca="1" si="16"/>
        <v>0.3404380341880342</v>
      </c>
      <c r="T9" s="54">
        <f t="shared" ca="1" si="17"/>
        <v>6.9200218376068383</v>
      </c>
      <c r="U9" s="55">
        <f t="shared" ca="1" si="18"/>
        <v>15.670501064516131</v>
      </c>
      <c r="V9" s="55">
        <f t="shared" ca="1" si="19"/>
        <v>7.6743370142180103</v>
      </c>
      <c r="W9" s="55">
        <f t="shared" ca="1" si="20"/>
        <v>18.883791370262394</v>
      </c>
      <c r="X9" s="55">
        <f t="shared" ca="1" si="21"/>
        <v>6.7517099791521895</v>
      </c>
      <c r="Y9" s="55">
        <f t="shared" ca="1" si="22"/>
        <v>15.545137056000002</v>
      </c>
      <c r="Z9" s="56">
        <f t="shared" ca="1" si="23"/>
        <v>21.028496469480622</v>
      </c>
      <c r="AA9" s="55">
        <f t="shared" ca="1" si="24"/>
        <v>18.169286960770428</v>
      </c>
      <c r="AB9" s="57">
        <f t="shared" ca="1" si="25"/>
        <v>15.550477257020555</v>
      </c>
      <c r="AC9" s="49">
        <f t="shared" ca="1" si="26"/>
        <v>0.22399999999999998</v>
      </c>
      <c r="AD9" s="49">
        <f t="shared" ca="1" si="27"/>
        <v>0.30299999999999994</v>
      </c>
      <c r="AE9" s="58">
        <f t="shared" ca="1" si="28"/>
        <v>0.45599999999999996</v>
      </c>
    </row>
    <row r="10" spans="1:31">
      <c r="A10" s="46" t="s">
        <v>40</v>
      </c>
      <c r="B10" s="47" t="str">
        <f t="shared" ca="1" si="0"/>
        <v>Infineon</v>
      </c>
      <c r="C10" s="48" cm="1">
        <f t="array" aca="1" ref="C10" ca="1">INDIRECT("'"&amp;$A10&amp;"'!"&amp;"E7")</f>
        <v>43619</v>
      </c>
      <c r="D10" s="48" t="str">
        <f t="shared" ca="1" si="1"/>
        <v>Public / Public</v>
      </c>
      <c r="E10" s="48" t="str">
        <f t="shared" ca="1" si="2"/>
        <v>Cash</v>
      </c>
      <c r="F10" s="48" t="str">
        <f t="shared" ca="1" si="3"/>
        <v>Completed</v>
      </c>
      <c r="G10" s="49">
        <f t="shared" ca="1" si="4"/>
        <v>1</v>
      </c>
      <c r="H10" s="49" t="str">
        <f t="shared" ca="1" si="5"/>
        <v>USD</v>
      </c>
      <c r="I10" s="50">
        <f t="shared" ca="1" si="6"/>
        <v>9123.44</v>
      </c>
      <c r="J10" s="50">
        <f t="shared" ca="1" si="7"/>
        <v>9434.44</v>
      </c>
      <c r="K10" s="50">
        <f t="shared" ca="1" si="8"/>
        <v>2161</v>
      </c>
      <c r="L10" s="50">
        <f t="shared" ca="1" si="9"/>
        <v>111</v>
      </c>
      <c r="M10" s="50">
        <f t="shared" ca="1" si="10"/>
        <v>548</v>
      </c>
      <c r="N10" s="50">
        <f t="shared" ca="1" si="11"/>
        <v>261</v>
      </c>
      <c r="O10" s="51">
        <f t="shared" ca="1" si="12"/>
        <v>-0.29756157635467984</v>
      </c>
      <c r="P10" s="52">
        <f t="shared" ca="1" si="13"/>
        <v>5.1365108745950946E-2</v>
      </c>
      <c r="Q10" s="52">
        <f t="shared" ca="1" si="14"/>
        <v>0.25358630263766774</v>
      </c>
      <c r="R10" s="52">
        <f t="shared" ca="1" si="15"/>
        <v>0.12077741786210087</v>
      </c>
      <c r="S10" s="53">
        <f t="shared" ca="1" si="16"/>
        <v>-5.5904673762147153E-2</v>
      </c>
      <c r="T10" s="54">
        <f t="shared" ca="1" si="17"/>
        <v>4.3657751041184643</v>
      </c>
      <c r="U10" s="55">
        <f t="shared" ca="1" si="18"/>
        <v>17.216131386861314</v>
      </c>
      <c r="V10" s="55">
        <f t="shared" ca="1" si="19"/>
        <v>3.3790974212034386</v>
      </c>
      <c r="W10" s="55">
        <f t="shared" ca="1" si="20"/>
        <v>12.142136422136423</v>
      </c>
      <c r="X10" s="55">
        <f t="shared" ca="1" si="21"/>
        <v>3.0141980830670927</v>
      </c>
      <c r="Y10" s="55">
        <f t="shared" ca="1" si="22"/>
        <v>10.413289183222959</v>
      </c>
      <c r="Z10" s="56" t="str">
        <f t="shared" ca="1" si="23"/>
        <v>NM</v>
      </c>
      <c r="AA10" s="55">
        <f t="shared" ca="1" si="24"/>
        <v>14.813664596273291</v>
      </c>
      <c r="AB10" s="57">
        <f t="shared" ca="1" si="25"/>
        <v>13.398876404494382</v>
      </c>
      <c r="AC10" s="49">
        <f t="shared" ca="1" si="26"/>
        <v>0.55000000000000004</v>
      </c>
      <c r="AD10" s="49">
        <f t="shared" ca="1" si="27"/>
        <v>0.45999999999999996</v>
      </c>
      <c r="AE10" s="58" t="str">
        <f t="shared" ca="1" si="28"/>
        <v>NA</v>
      </c>
    </row>
    <row r="11" spans="1:31" ht="15.75" thickBot="1">
      <c r="A11" s="60"/>
      <c r="B11" s="47"/>
      <c r="C11" s="48"/>
      <c r="D11" s="48"/>
      <c r="E11" s="48"/>
      <c r="F11" s="48"/>
      <c r="G11" s="49"/>
      <c r="H11" s="49"/>
      <c r="I11" s="50"/>
      <c r="J11" s="61"/>
      <c r="K11" s="50"/>
      <c r="L11" s="50"/>
      <c r="M11" s="50"/>
      <c r="N11" s="50"/>
      <c r="O11" s="51"/>
      <c r="P11" s="49"/>
      <c r="Q11" s="49"/>
      <c r="R11" s="49"/>
      <c r="S11" s="59"/>
      <c r="T11" s="56"/>
      <c r="U11" s="55"/>
      <c r="V11" s="55"/>
      <c r="W11" s="55"/>
      <c r="X11" s="55"/>
      <c r="Y11" s="55"/>
      <c r="Z11" s="56"/>
      <c r="AA11" s="55"/>
      <c r="AB11" s="57"/>
      <c r="AC11" s="49"/>
      <c r="AD11" s="49"/>
      <c r="AE11" s="58"/>
    </row>
    <row r="12" spans="1:31">
      <c r="A12" s="62" t="s">
        <v>41</v>
      </c>
      <c r="B12" s="63"/>
      <c r="C12" s="63"/>
      <c r="D12" s="63"/>
      <c r="E12" s="63"/>
      <c r="F12" s="63"/>
      <c r="G12" s="63"/>
      <c r="H12" s="63"/>
      <c r="I12" s="64"/>
      <c r="J12" s="64"/>
      <c r="K12" s="65">
        <f t="shared" ref="K12:AE12" ca="1" si="29">MEDIAN(K7:K10)</f>
        <v>2484.5</v>
      </c>
      <c r="L12" s="65">
        <f t="shared" ca="1" si="29"/>
        <v>1192</v>
      </c>
      <c r="M12" s="65">
        <f t="shared" ca="1" si="29"/>
        <v>953</v>
      </c>
      <c r="N12" s="65">
        <f t="shared" ca="1" si="29"/>
        <v>761</v>
      </c>
      <c r="O12" s="66">
        <f t="shared" ca="1" si="29"/>
        <v>3.1213993970631142</v>
      </c>
      <c r="P12" s="67">
        <f t="shared" ca="1" si="29"/>
        <v>0.47827147484681731</v>
      </c>
      <c r="Q12" s="67">
        <f t="shared" ca="1" si="29"/>
        <v>0.38648062590367738</v>
      </c>
      <c r="R12" s="67">
        <f t="shared" ca="1" si="29"/>
        <v>0.27451761518625073</v>
      </c>
      <c r="S12" s="68">
        <f t="shared" ca="1" si="29"/>
        <v>0.24496888555159718</v>
      </c>
      <c r="T12" s="69">
        <f t="shared" ca="1" si="29"/>
        <v>5.6428984708626508</v>
      </c>
      <c r="U12" s="70">
        <f t="shared" ca="1" si="29"/>
        <v>16.443316225688722</v>
      </c>
      <c r="V12" s="70">
        <f t="shared" ca="1" si="29"/>
        <v>5.5267172177107238</v>
      </c>
      <c r="W12" s="70">
        <f t="shared" ca="1" si="29"/>
        <v>15.512963896199409</v>
      </c>
      <c r="X12" s="70">
        <f t="shared" ca="1" si="29"/>
        <v>4.8829540311096409</v>
      </c>
      <c r="Y12" s="70">
        <f t="shared" ca="1" si="29"/>
        <v>12.979213119611479</v>
      </c>
      <c r="Z12" s="69">
        <f t="shared" ca="1" si="29"/>
        <v>21.028496469480622</v>
      </c>
      <c r="AA12" s="70">
        <f t="shared" ca="1" si="29"/>
        <v>20.458034038325128</v>
      </c>
      <c r="AB12" s="71">
        <f t="shared" ca="1" si="29"/>
        <v>18.291111644383292</v>
      </c>
      <c r="AC12" s="67">
        <f t="shared" ca="1" si="29"/>
        <v>0.37000000000000011</v>
      </c>
      <c r="AD12" s="67">
        <f t="shared" ca="1" si="29"/>
        <v>0.39999999999999991</v>
      </c>
      <c r="AE12" s="72">
        <f t="shared" ca="1" si="29"/>
        <v>0.45599999999999996</v>
      </c>
    </row>
    <row r="13" spans="1:31">
      <c r="A13" s="73" t="s">
        <v>42</v>
      </c>
      <c r="B13" s="74"/>
      <c r="C13" s="74"/>
      <c r="D13" s="74"/>
      <c r="E13" s="74"/>
      <c r="F13" s="74"/>
      <c r="G13" s="74"/>
      <c r="H13" s="74"/>
      <c r="I13" s="75"/>
      <c r="J13" s="75"/>
      <c r="K13" s="76">
        <f t="shared" ref="K13:AE13" ca="1" si="30">AVERAGE(K7:K10)</f>
        <v>2599.25</v>
      </c>
      <c r="L13" s="76">
        <f t="shared" ca="1" si="30"/>
        <v>1252</v>
      </c>
      <c r="M13" s="76">
        <f t="shared" ca="1" si="30"/>
        <v>974.50549999999998</v>
      </c>
      <c r="N13" s="76">
        <f t="shared" ca="1" si="30"/>
        <v>758.33050000000003</v>
      </c>
      <c r="O13" s="77">
        <f t="shared" ca="1" si="30"/>
        <v>2.6374113044428875</v>
      </c>
      <c r="P13" s="78">
        <f t="shared" ca="1" si="30"/>
        <v>0.42288289056201828</v>
      </c>
      <c r="Q13" s="78">
        <f t="shared" ca="1" si="30"/>
        <v>0.36703574901011604</v>
      </c>
      <c r="R13" s="78">
        <f t="shared" ca="1" si="30"/>
        <v>0.2703733899788785</v>
      </c>
      <c r="S13" s="79">
        <f t="shared" ca="1" si="30"/>
        <v>0.19361778288227036</v>
      </c>
      <c r="T13" s="80">
        <f t="shared" ca="1" si="30"/>
        <v>5.6657959923694552</v>
      </c>
      <c r="U13" s="81">
        <f t="shared" ca="1" si="30"/>
        <v>15.525561947193909</v>
      </c>
      <c r="V13" s="81">
        <f t="shared" ca="1" si="30"/>
        <v>5.6908811167033511</v>
      </c>
      <c r="W13" s="81">
        <f t="shared" ca="1" si="30"/>
        <v>16.05639697305946</v>
      </c>
      <c r="X13" s="81">
        <f t="shared" ca="1" si="30"/>
        <v>5.0794002036169728</v>
      </c>
      <c r="Y13" s="81">
        <f t="shared" ca="1" si="30"/>
        <v>13.789553876431709</v>
      </c>
      <c r="Z13" s="80">
        <f t="shared" ca="1" si="30"/>
        <v>23.154921291159052</v>
      </c>
      <c r="AA13" s="81">
        <f t="shared" ca="1" si="30"/>
        <v>23.110128373710339</v>
      </c>
      <c r="AB13" s="82">
        <f t="shared" ca="1" si="30"/>
        <v>20.143354261214789</v>
      </c>
      <c r="AC13" s="78">
        <f t="shared" ca="1" si="30"/>
        <v>0.38133333333333336</v>
      </c>
      <c r="AD13" s="78">
        <f t="shared" ca="1" si="30"/>
        <v>0.3876666666666666</v>
      </c>
      <c r="AE13" s="83">
        <f t="shared" ca="1" si="30"/>
        <v>0.45599999999999996</v>
      </c>
    </row>
    <row r="14" spans="1:31">
      <c r="A14" s="84" t="s">
        <v>43</v>
      </c>
      <c r="B14" s="47"/>
      <c r="C14" s="47"/>
      <c r="D14" s="47"/>
      <c r="E14" s="47"/>
      <c r="F14" s="47"/>
      <c r="G14" s="47"/>
      <c r="H14" s="47"/>
      <c r="I14" s="12"/>
      <c r="J14" s="12"/>
      <c r="K14" s="85">
        <f t="shared" ref="K14:AE14" ca="1" si="31">MAX(K7:K10)</f>
        <v>3676</v>
      </c>
      <c r="L14" s="85">
        <f t="shared" ca="1" si="31"/>
        <v>2513</v>
      </c>
      <c r="M14" s="85">
        <f t="shared" ca="1" si="31"/>
        <v>1444.0220000000002</v>
      </c>
      <c r="N14" s="85">
        <f t="shared" ca="1" si="31"/>
        <v>1250.3220000000001</v>
      </c>
      <c r="O14" s="86">
        <f t="shared" ca="1" si="31"/>
        <v>4.6044080000000003</v>
      </c>
      <c r="P14" s="49">
        <f t="shared" ca="1" si="31"/>
        <v>0.68362350380848746</v>
      </c>
      <c r="Q14" s="49">
        <f t="shared" ca="1" si="31"/>
        <v>0.44159544159544162</v>
      </c>
      <c r="R14" s="49">
        <f t="shared" ca="1" si="31"/>
        <v>0.4116809116809117</v>
      </c>
      <c r="S14" s="59">
        <f t="shared" ca="1" si="31"/>
        <v>0.3404380341880342</v>
      </c>
      <c r="T14" s="56">
        <f t="shared" ca="1" si="31"/>
        <v>8.4046832834602814</v>
      </c>
      <c r="U14" s="87">
        <f t="shared" ca="1" si="31"/>
        <v>21.395529811872667</v>
      </c>
      <c r="V14" s="55">
        <f t="shared" ca="1" si="31"/>
        <v>8.6883058914510674</v>
      </c>
      <c r="W14" s="55">
        <f t="shared" ca="1" si="31"/>
        <v>27.462769555555553</v>
      </c>
      <c r="X14" s="55">
        <f t="shared" ca="1" si="31"/>
        <v>7.609757573891625</v>
      </c>
      <c r="Y14" s="57">
        <f t="shared" ca="1" si="31"/>
        <v>23.566449847444698</v>
      </c>
      <c r="Z14" s="55">
        <f t="shared" ca="1" si="31"/>
        <v>29.101319865659168</v>
      </c>
      <c r="AA14" s="55">
        <f t="shared" ca="1" si="31"/>
        <v>36.710780821917808</v>
      </c>
      <c r="AB14" s="57">
        <f t="shared" ca="1" si="31"/>
        <v>30.592317351598172</v>
      </c>
      <c r="AC14" s="49">
        <f t="shared" ca="1" si="31"/>
        <v>0.55000000000000004</v>
      </c>
      <c r="AD14" s="49">
        <f t="shared" ca="1" si="31"/>
        <v>0.45999999999999996</v>
      </c>
      <c r="AE14" s="88">
        <f t="shared" ca="1" si="31"/>
        <v>0.45599999999999996</v>
      </c>
    </row>
    <row r="15" spans="1:31" ht="15.75" thickBot="1">
      <c r="A15" s="89" t="s">
        <v>44</v>
      </c>
      <c r="B15" s="90"/>
      <c r="C15" s="90"/>
      <c r="D15" s="90"/>
      <c r="E15" s="90"/>
      <c r="F15" s="90"/>
      <c r="G15" s="90"/>
      <c r="H15" s="90"/>
      <c r="I15" s="90"/>
      <c r="J15" s="90"/>
      <c r="K15" s="91">
        <f t="shared" ref="K15:AE15" ca="1" si="32">MIN(K7:K10)</f>
        <v>1752</v>
      </c>
      <c r="L15" s="91">
        <f t="shared" ca="1" si="32"/>
        <v>111</v>
      </c>
      <c r="M15" s="91">
        <f t="shared" ca="1" si="32"/>
        <v>548</v>
      </c>
      <c r="N15" s="91">
        <f t="shared" ca="1" si="32"/>
        <v>261</v>
      </c>
      <c r="O15" s="92">
        <f t="shared" ca="1" si="32"/>
        <v>-0.29756157635467984</v>
      </c>
      <c r="P15" s="93">
        <f t="shared" ca="1" si="32"/>
        <v>5.1365108745950946E-2</v>
      </c>
      <c r="Q15" s="93">
        <f t="shared" ca="1" si="32"/>
        <v>0.25358630263766774</v>
      </c>
      <c r="R15" s="93">
        <f t="shared" ca="1" si="32"/>
        <v>0.12077741786210087</v>
      </c>
      <c r="S15" s="94">
        <f t="shared" ca="1" si="32"/>
        <v>-5.5904673762147153E-2</v>
      </c>
      <c r="T15" s="95">
        <f t="shared" ca="1" si="32"/>
        <v>2.9727037442922377</v>
      </c>
      <c r="U15" s="96">
        <f t="shared" ca="1" si="32"/>
        <v>7.8200855255255268</v>
      </c>
      <c r="V15" s="96">
        <f t="shared" ca="1" si="32"/>
        <v>3.021784139940888</v>
      </c>
      <c r="W15" s="96">
        <f t="shared" ca="1" si="32"/>
        <v>5.7368905442834706</v>
      </c>
      <c r="X15" s="96">
        <f t="shared" ca="1" si="32"/>
        <v>2.9419351783569829</v>
      </c>
      <c r="Y15" s="97">
        <f t="shared" ca="1" si="32"/>
        <v>5.6333394190591788</v>
      </c>
      <c r="Z15" s="96">
        <f t="shared" ca="1" si="32"/>
        <v>19.334947538337367</v>
      </c>
      <c r="AA15" s="96">
        <f t="shared" ca="1" si="32"/>
        <v>14.813664596273291</v>
      </c>
      <c r="AB15" s="97">
        <f t="shared" ca="1" si="32"/>
        <v>13.398876404494382</v>
      </c>
      <c r="AC15" s="93">
        <f t="shared" ca="1" si="32"/>
        <v>0.22399999999999998</v>
      </c>
      <c r="AD15" s="93">
        <f t="shared" ca="1" si="32"/>
        <v>0.30299999999999994</v>
      </c>
      <c r="AE15" s="98">
        <f t="shared" ca="1" si="32"/>
        <v>0.45599999999999996</v>
      </c>
    </row>
    <row r="16" spans="1:31" ht="15.75" thickBot="1">
      <c r="A16" s="12"/>
      <c r="B16" s="47"/>
      <c r="C16" s="48"/>
      <c r="D16" s="48"/>
      <c r="E16" s="48"/>
      <c r="F16" s="48"/>
      <c r="G16" s="49"/>
      <c r="H16" s="49"/>
      <c r="I16" s="50"/>
      <c r="J16" s="50"/>
      <c r="K16" s="12"/>
      <c r="L16" s="12"/>
      <c r="M16" s="12"/>
      <c r="N16" s="12"/>
      <c r="O16" s="12"/>
      <c r="P16" s="12"/>
      <c r="Q16" s="12"/>
      <c r="R16" s="12"/>
      <c r="S16" s="12"/>
      <c r="T16" s="12"/>
      <c r="U16" s="12"/>
      <c r="V16" s="12"/>
      <c r="W16" s="12"/>
      <c r="X16" s="12"/>
      <c r="Y16" s="12"/>
      <c r="Z16" s="12"/>
      <c r="AA16" s="12"/>
      <c r="AB16" s="12"/>
      <c r="AC16" s="12"/>
      <c r="AD16" s="12"/>
      <c r="AE16" s="12"/>
    </row>
    <row r="17" spans="1:31" ht="15.75" thickBot="1">
      <c r="A17" s="99" t="s">
        <v>45</v>
      </c>
      <c r="B17" s="100"/>
      <c r="C17" s="101"/>
      <c r="D17" s="101"/>
      <c r="E17" s="101"/>
      <c r="F17" s="101"/>
      <c r="G17" s="102"/>
      <c r="H17" s="102"/>
      <c r="I17" s="103"/>
      <c r="J17" s="103"/>
      <c r="K17" s="104">
        <v>25878</v>
      </c>
      <c r="L17" s="104">
        <v>14573</v>
      </c>
      <c r="M17" s="104">
        <v>8956</v>
      </c>
      <c r="N17" s="104">
        <v>7362</v>
      </c>
      <c r="O17" s="105">
        <v>2.87</v>
      </c>
      <c r="P17" s="106">
        <v>0.56000000000000005</v>
      </c>
      <c r="Q17" s="106">
        <f>M17/K17</f>
        <v>0.34608547801221112</v>
      </c>
      <c r="R17" s="106">
        <f>N17/K17</f>
        <v>0.28448875492696502</v>
      </c>
      <c r="S17" s="106">
        <v>0.27</v>
      </c>
      <c r="T17" s="104">
        <f>K17</f>
        <v>25878</v>
      </c>
      <c r="U17" s="104">
        <f>M17</f>
        <v>8956</v>
      </c>
      <c r="V17" s="104">
        <v>42273</v>
      </c>
      <c r="W17" s="104">
        <v>7070</v>
      </c>
      <c r="X17" s="104">
        <v>66396</v>
      </c>
      <c r="Y17" s="104">
        <v>8772</v>
      </c>
      <c r="Z17" s="105">
        <f>O17</f>
        <v>2.87</v>
      </c>
      <c r="AA17" s="105">
        <v>6.26</v>
      </c>
      <c r="AB17" s="105">
        <v>9.92</v>
      </c>
      <c r="AC17" s="105">
        <v>432.99</v>
      </c>
      <c r="AD17" s="105">
        <f>AC17</f>
        <v>432.99</v>
      </c>
      <c r="AE17" s="107">
        <f>AD17</f>
        <v>432.99</v>
      </c>
    </row>
    <row r="18" spans="1:31">
      <c r="A18" s="12"/>
      <c r="B18" s="47"/>
      <c r="C18" s="48"/>
      <c r="D18" s="48"/>
      <c r="E18" s="48"/>
      <c r="F18" s="48"/>
      <c r="G18" s="49"/>
      <c r="H18" s="49"/>
      <c r="I18" s="50"/>
      <c r="J18" s="50"/>
      <c r="K18" s="12"/>
      <c r="L18" s="12"/>
      <c r="M18" s="12"/>
      <c r="N18" s="12"/>
      <c r="O18" s="12"/>
      <c r="P18" s="12"/>
      <c r="Q18" s="12"/>
      <c r="R18" s="12"/>
      <c r="S18" s="12"/>
      <c r="T18" s="12"/>
      <c r="U18" s="12"/>
      <c r="V18" s="12"/>
      <c r="W18" s="12"/>
      <c r="X18" s="12"/>
      <c r="Y18" s="12"/>
      <c r="Z18" s="12"/>
      <c r="AA18" s="12"/>
      <c r="AB18" s="12"/>
      <c r="AC18" s="12"/>
      <c r="AD18" s="12"/>
      <c r="AE18" s="12"/>
    </row>
    <row r="19" spans="1:31">
      <c r="A19" s="110"/>
      <c r="B19" s="12"/>
      <c r="C19" s="12"/>
      <c r="D19" s="12"/>
      <c r="E19" s="12"/>
      <c r="F19" s="12"/>
      <c r="G19" s="12"/>
      <c r="H19" s="12"/>
      <c r="I19" s="12"/>
      <c r="J19" s="12"/>
      <c r="K19" s="12"/>
      <c r="L19" s="12"/>
      <c r="M19" s="12"/>
      <c r="N19" s="12"/>
      <c r="O19" s="12"/>
      <c r="P19" s="12"/>
      <c r="Q19" s="12"/>
      <c r="R19" s="12"/>
      <c r="S19" s="12"/>
      <c r="T19" s="12"/>
      <c r="U19" s="108"/>
      <c r="V19" s="109"/>
      <c r="W19" s="109"/>
      <c r="X19" s="109"/>
      <c r="Y19" s="109"/>
      <c r="Z19" s="109"/>
      <c r="AA19" s="109"/>
      <c r="AB19" s="109"/>
      <c r="AC19" s="109"/>
      <c r="AD19" s="109"/>
      <c r="AE19" s="109"/>
    </row>
    <row r="20" spans="1:31">
      <c r="A20" s="110"/>
      <c r="B20" s="12"/>
      <c r="C20" s="12"/>
      <c r="D20" s="12"/>
      <c r="E20" s="12"/>
      <c r="F20" s="12"/>
      <c r="G20" s="12"/>
      <c r="H20" s="12"/>
      <c r="I20" s="12"/>
      <c r="J20" s="12"/>
      <c r="K20" s="12"/>
      <c r="L20" s="12"/>
      <c r="M20" s="12"/>
      <c r="N20" s="12"/>
      <c r="O20" s="12"/>
      <c r="P20" s="12"/>
      <c r="Q20" s="12"/>
      <c r="R20" s="12"/>
      <c r="S20" s="12"/>
      <c r="T20" s="12"/>
      <c r="U20" s="108"/>
      <c r="V20" s="109"/>
      <c r="W20" s="109"/>
      <c r="X20" s="109"/>
      <c r="Y20" s="109"/>
      <c r="Z20" s="109"/>
      <c r="AA20" s="109"/>
      <c r="AB20" s="109"/>
      <c r="AC20" s="109"/>
      <c r="AD20" s="109"/>
      <c r="AE20" s="10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8AE4B-1E26-4E9A-A3AC-910A705D333D}">
  <sheetPr>
    <tabColor theme="9" tint="-0.249977111117893"/>
  </sheetPr>
  <dimension ref="A1:U41"/>
  <sheetViews>
    <sheetView showGridLines="0" workbookViewId="0">
      <selection activeCell="H33" sqref="H33"/>
    </sheetView>
  </sheetViews>
  <sheetFormatPr defaultRowHeight="15"/>
  <cols>
    <col min="1" max="1" width="22.140625" bestFit="1" customWidth="1"/>
    <col min="12" max="12" width="34.85546875" bestFit="1" customWidth="1"/>
    <col min="13" max="13" width="12.5703125" bestFit="1" customWidth="1"/>
    <col min="14" max="14" width="20" bestFit="1" customWidth="1"/>
    <col min="15" max="15" width="12.28515625" bestFit="1" customWidth="1"/>
    <col min="16" max="16" width="14.5703125" bestFit="1" customWidth="1"/>
  </cols>
  <sheetData>
    <row r="1" spans="1:21">
      <c r="A1" s="5"/>
      <c r="B1" s="5"/>
      <c r="C1" s="5"/>
      <c r="D1" s="5"/>
      <c r="E1" s="5"/>
      <c r="F1" s="5"/>
      <c r="G1" s="5"/>
      <c r="H1" s="5"/>
      <c r="I1" s="5"/>
      <c r="J1" s="5"/>
      <c r="K1" s="5"/>
      <c r="L1" s="5"/>
      <c r="M1" s="5"/>
      <c r="N1" s="5"/>
      <c r="O1" s="5"/>
      <c r="P1" s="5"/>
      <c r="Q1" s="5"/>
      <c r="R1" s="5"/>
      <c r="S1" s="5"/>
      <c r="T1" s="5"/>
      <c r="U1" s="5"/>
    </row>
    <row r="2" spans="1:21">
      <c r="A2" s="12"/>
      <c r="B2" s="395" t="s">
        <v>17</v>
      </c>
      <c r="C2" s="396"/>
      <c r="D2" s="396"/>
      <c r="E2" s="397" t="s">
        <v>46</v>
      </c>
      <c r="F2" s="396"/>
      <c r="G2" s="396"/>
      <c r="H2" s="397" t="s">
        <v>47</v>
      </c>
      <c r="I2" s="396"/>
      <c r="J2" s="398"/>
      <c r="K2" s="399"/>
      <c r="L2" s="1" t="s">
        <v>48</v>
      </c>
      <c r="M2" s="2" t="s">
        <v>49</v>
      </c>
      <c r="N2" s="2" t="s">
        <v>50</v>
      </c>
      <c r="O2" s="2" t="s">
        <v>51</v>
      </c>
      <c r="P2" s="3" t="s">
        <v>52</v>
      </c>
      <c r="Q2" s="400">
        <v>0.25</v>
      </c>
      <c r="R2" s="4"/>
      <c r="S2" s="400">
        <v>0.75</v>
      </c>
      <c r="T2" s="5"/>
      <c r="U2" s="5"/>
    </row>
    <row r="3" spans="1:21" ht="27" thickBot="1">
      <c r="A3" s="12"/>
      <c r="B3" s="401" t="s">
        <v>53</v>
      </c>
      <c r="C3" s="402" t="s">
        <v>54</v>
      </c>
      <c r="D3" s="402" t="s">
        <v>55</v>
      </c>
      <c r="E3" s="403" t="s">
        <v>53</v>
      </c>
      <c r="F3" s="402" t="s">
        <v>54</v>
      </c>
      <c r="G3" s="402" t="s">
        <v>56</v>
      </c>
      <c r="H3" s="403" t="s">
        <v>53</v>
      </c>
      <c r="I3" s="402" t="s">
        <v>54</v>
      </c>
      <c r="J3" s="404" t="s">
        <v>55</v>
      </c>
      <c r="K3" s="405"/>
      <c r="L3" s="406" t="s">
        <v>57</v>
      </c>
      <c r="M3" s="7">
        <f ca="1">$B28+(($B21-$B28)*Q$2)</f>
        <v>46.756384236568209</v>
      </c>
      <c r="N3" s="7">
        <f t="shared" ref="N3:N10" ca="1" si="0">O3-M3</f>
        <v>27.923870980252417</v>
      </c>
      <c r="O3" s="7">
        <f ca="1">$B28+(($B21-$B28)*S$2)</f>
        <v>74.680255216820626</v>
      </c>
      <c r="P3" s="5"/>
      <c r="Q3" s="5"/>
      <c r="R3" s="5"/>
      <c r="S3" s="5"/>
      <c r="T3" s="5"/>
      <c r="U3" s="5"/>
    </row>
    <row r="4" spans="1:21" ht="26.25">
      <c r="A4" s="12" t="s">
        <v>42</v>
      </c>
      <c r="B4" s="407">
        <f ca="1">'Precedent Transaction Output'!T13</f>
        <v>5.6657959923694552</v>
      </c>
      <c r="C4" s="407">
        <f ca="1">'Precedent Transaction Output'!U13</f>
        <v>15.525561947193909</v>
      </c>
      <c r="D4" s="407">
        <f ca="1">'Precedent Transaction Output'!Z13</f>
        <v>23.154921291159052</v>
      </c>
      <c r="E4" s="408">
        <f ca="1">'Precedent Transaction Output'!V13</f>
        <v>5.6908811167033511</v>
      </c>
      <c r="F4" s="407">
        <f ca="1">'Precedent Transaction Output'!W13</f>
        <v>16.05639697305946</v>
      </c>
      <c r="G4" s="407">
        <f ca="1">'Precedent Transaction Output'!AA13</f>
        <v>23.110128373710339</v>
      </c>
      <c r="H4" s="408">
        <f ca="1">'Precedent Transaction Output'!X13</f>
        <v>5.0794002036169728</v>
      </c>
      <c r="I4" s="407">
        <f ca="1">'Precedent Transaction Output'!Y13</f>
        <v>13.789553876431709</v>
      </c>
      <c r="J4" s="409">
        <f ca="1">'Precedent Transaction Output'!AB13</f>
        <v>20.143354261214789</v>
      </c>
      <c r="K4" s="407"/>
      <c r="L4" s="406" t="s">
        <v>58</v>
      </c>
      <c r="M4" s="7">
        <f ca="1">$C28+(($C21-$C28)*Q$2)</f>
        <v>42.13273965980845</v>
      </c>
      <c r="N4" s="7">
        <f t="shared" ca="1" si="0"/>
        <v>24.152101515400275</v>
      </c>
      <c r="O4" s="7">
        <f ca="1">$C28+(($C21-$C28)*S$2)</f>
        <v>66.284841175208726</v>
      </c>
      <c r="P4" s="5"/>
      <c r="Q4" s="5"/>
      <c r="R4" s="5"/>
      <c r="S4" s="5"/>
      <c r="T4" s="5"/>
      <c r="U4" s="5"/>
    </row>
    <row r="5" spans="1:21">
      <c r="A5" s="12" t="s">
        <v>43</v>
      </c>
      <c r="B5" s="407">
        <f ca="1">'Precedent Transaction Output'!T14</f>
        <v>8.4046832834602814</v>
      </c>
      <c r="C5" s="407">
        <f ca="1">'Precedent Transaction Output'!U14</f>
        <v>21.395529811872667</v>
      </c>
      <c r="D5" s="407">
        <f ca="1">'Precedent Transaction Output'!Z14</f>
        <v>29.101319865659168</v>
      </c>
      <c r="E5" s="408">
        <f ca="1">'Precedent Transaction Output'!V14</f>
        <v>8.6883058914510674</v>
      </c>
      <c r="F5" s="407">
        <f ca="1">'Precedent Transaction Output'!W14</f>
        <v>27.462769555555553</v>
      </c>
      <c r="G5" s="407">
        <f ca="1">'Precedent Transaction Output'!AA14</f>
        <v>36.710780821917808</v>
      </c>
      <c r="H5" s="408">
        <f ca="1">'Precedent Transaction Output'!X14</f>
        <v>7.609757573891625</v>
      </c>
      <c r="I5" s="407">
        <f ca="1">'Precedent Transaction Output'!Y14</f>
        <v>23.566449847444698</v>
      </c>
      <c r="J5" s="409">
        <f ca="1">'Precedent Transaction Output'!AB14</f>
        <v>30.592317351598172</v>
      </c>
      <c r="K5" s="407"/>
      <c r="L5" s="406" t="s">
        <v>59</v>
      </c>
      <c r="M5" s="7">
        <f ca="1">$D28+(($D21-$D28)*Q$2)</f>
        <v>62.498671579881638</v>
      </c>
      <c r="N5" s="7">
        <f t="shared" ca="1" si="0"/>
        <v>14.01474428970679</v>
      </c>
      <c r="O5" s="7">
        <f ca="1">$D28+(($D21-$D28)*S$2)</f>
        <v>76.513415869588428</v>
      </c>
      <c r="P5" s="5"/>
      <c r="Q5" s="5"/>
      <c r="R5" s="5"/>
      <c r="S5" s="5"/>
      <c r="T5" s="5"/>
      <c r="U5" s="5"/>
    </row>
    <row r="6" spans="1:21" ht="26.25">
      <c r="A6" s="12" t="s">
        <v>44</v>
      </c>
      <c r="B6" s="407">
        <f ca="1">'Precedent Transaction Output'!T15</f>
        <v>2.9727037442922377</v>
      </c>
      <c r="C6" s="407">
        <f ca="1">'Precedent Transaction Output'!U15</f>
        <v>7.8200855255255268</v>
      </c>
      <c r="D6" s="407">
        <f ca="1">'Precedent Transaction Output'!Z15</f>
        <v>19.334947538337367</v>
      </c>
      <c r="E6" s="408">
        <f ca="1">'Precedent Transaction Output'!V15</f>
        <v>3.021784139940888</v>
      </c>
      <c r="F6" s="407">
        <f ca="1">'Precedent Transaction Output'!W15</f>
        <v>5.7368905442834706</v>
      </c>
      <c r="G6" s="407">
        <f ca="1">'Precedent Transaction Output'!AA15</f>
        <v>14.813664596273291</v>
      </c>
      <c r="H6" s="408">
        <f ca="1">'Precedent Transaction Output'!X15</f>
        <v>2.9419351783569829</v>
      </c>
      <c r="I6" s="407">
        <f ca="1">'Precedent Transaction Output'!Y15</f>
        <v>5.6333394190591788</v>
      </c>
      <c r="J6" s="409">
        <f ca="1">'Precedent Transaction Output'!AB15</f>
        <v>13.398876404494382</v>
      </c>
      <c r="K6" s="407"/>
      <c r="L6" s="406" t="s">
        <v>60</v>
      </c>
      <c r="M6" s="7">
        <f ca="1">$E28+(($E21-$E28)*Q$2)</f>
        <v>76.774374035803973</v>
      </c>
      <c r="N6" s="7">
        <f ca="1">O6-M6</f>
        <v>47.58459952355777</v>
      </c>
      <c r="O6" s="7">
        <f ca="1">$E28+(($E21-$E28)*S$2)</f>
        <v>124.35897355936174</v>
      </c>
      <c r="P6" s="5"/>
      <c r="Q6" s="5"/>
      <c r="R6" s="5"/>
      <c r="S6" s="5"/>
      <c r="T6" s="5"/>
      <c r="U6" s="5"/>
    </row>
    <row r="7" spans="1:21" ht="26.25">
      <c r="A7" s="12" t="s">
        <v>61</v>
      </c>
      <c r="B7" s="410">
        <f>'Precedent Transaction Output'!K17</f>
        <v>25878</v>
      </c>
      <c r="C7" s="410">
        <f>'Precedent Transaction Output'!M17</f>
        <v>8956</v>
      </c>
      <c r="D7" s="10">
        <f>'Precedent Transaction Output'!O17</f>
        <v>2.87</v>
      </c>
      <c r="E7" s="411">
        <f>'Precedent Transaction Output'!V17</f>
        <v>42273</v>
      </c>
      <c r="F7" s="410">
        <f>'Precedent Transaction Output'!W17</f>
        <v>7070</v>
      </c>
      <c r="G7" s="10">
        <f>'Precedent Transaction Output'!AA17</f>
        <v>6.26</v>
      </c>
      <c r="H7" s="411">
        <f>'Precedent Transaction Output'!X17</f>
        <v>66396</v>
      </c>
      <c r="I7" s="410">
        <f>'Precedent Transaction Output'!Y17</f>
        <v>8772</v>
      </c>
      <c r="J7" s="412">
        <f>'Precedent Transaction Output'!AB17</f>
        <v>9.92</v>
      </c>
      <c r="K7" s="10"/>
      <c r="L7" s="406" t="s">
        <v>62</v>
      </c>
      <c r="M7" s="7">
        <f ca="1">$F28+(($F21-$F28)*Q$2)</f>
        <v>33.602029122172247</v>
      </c>
      <c r="N7" s="7">
        <f t="shared" ca="1" si="0"/>
        <v>30.512905166804465</v>
      </c>
      <c r="O7" s="7">
        <f ca="1">$F28+(($F21-$F28)*S$2)</f>
        <v>64.114934288976713</v>
      </c>
      <c r="P7" s="5"/>
      <c r="Q7" s="5"/>
      <c r="R7" s="5"/>
      <c r="S7" s="5"/>
      <c r="T7" s="5"/>
      <c r="U7" s="5"/>
    </row>
    <row r="8" spans="1:21">
      <c r="A8" s="12"/>
      <c r="B8" s="55"/>
      <c r="C8" s="55"/>
      <c r="D8" s="55"/>
      <c r="E8" s="56"/>
      <c r="F8" s="55"/>
      <c r="G8" s="55"/>
      <c r="H8" s="56"/>
      <c r="I8" s="55"/>
      <c r="J8" s="413"/>
      <c r="K8" s="55"/>
      <c r="L8" s="406" t="s">
        <v>63</v>
      </c>
      <c r="M8" s="7">
        <f ca="1">$G28+(($G21-$G28)*Q$2)</f>
        <v>127.00252726580447</v>
      </c>
      <c r="N8" s="7">
        <f t="shared" ca="1" si="0"/>
        <v>68.537973786267315</v>
      </c>
      <c r="O8" s="7">
        <f ca="1">$G28+(($G21-$G28)*S$2)</f>
        <v>195.54050105207179</v>
      </c>
      <c r="P8" s="5"/>
      <c r="Q8" s="5"/>
      <c r="R8" s="5"/>
      <c r="S8" s="5"/>
      <c r="T8" s="5"/>
      <c r="U8" s="5"/>
    </row>
    <row r="9" spans="1:21">
      <c r="A9" s="414" t="s">
        <v>41</v>
      </c>
      <c r="B9" s="12"/>
      <c r="C9" s="12"/>
      <c r="D9" s="12"/>
      <c r="E9" s="415"/>
      <c r="F9" s="12"/>
      <c r="G9" s="12"/>
      <c r="H9" s="415"/>
      <c r="I9" s="12"/>
      <c r="J9" s="416"/>
      <c r="K9" s="12"/>
      <c r="L9" s="5" t="s">
        <v>64</v>
      </c>
      <c r="M9" s="6">
        <f ca="1">$N38+(($N37-$N38)*Q$2)</f>
        <v>565.26844500000004</v>
      </c>
      <c r="N9" s="7">
        <f t="shared" ca="1" si="0"/>
        <v>70.577369999999974</v>
      </c>
      <c r="O9" s="7">
        <f ca="1">$N38+(($N37-$N38)*S$2)</f>
        <v>635.84581500000002</v>
      </c>
      <c r="P9" s="5"/>
      <c r="Q9" s="5"/>
      <c r="R9" s="5"/>
      <c r="S9" s="5"/>
      <c r="T9" s="5"/>
      <c r="U9" s="5"/>
    </row>
    <row r="10" spans="1:21">
      <c r="A10" s="417" t="s">
        <v>65</v>
      </c>
      <c r="B10" s="418">
        <f ca="1">B4*B$7</f>
        <v>146619.46869053677</v>
      </c>
      <c r="C10" s="418">
        <f ca="1">C4*C$7</f>
        <v>139046.93279906866</v>
      </c>
      <c r="D10" s="418">
        <f ca="1">D12+D11</f>
        <v>161650.28887386183</v>
      </c>
      <c r="E10" s="419">
        <f ca="1">E4*E$7</f>
        <v>240570.61744640075</v>
      </c>
      <c r="F10" s="418">
        <f ca="1">F4*F$7</f>
        <v>113518.72659953038</v>
      </c>
      <c r="G10" s="418">
        <f ca="1">G12+G11</f>
        <v>358516.88891009701</v>
      </c>
      <c r="H10" s="419">
        <f ca="1">H4*H$7</f>
        <v>337251.8559193525</v>
      </c>
      <c r="I10" s="418">
        <f ca="1">I4*I$7</f>
        <v>120961.96660405895</v>
      </c>
      <c r="J10" s="420">
        <f ca="1">J12+J11</f>
        <v>497336.16094073799</v>
      </c>
      <c r="K10" s="418"/>
      <c r="L10" s="5" t="s">
        <v>66</v>
      </c>
      <c r="M10" s="6">
        <f ca="1">$N41+(($N40-$N41)*Q$2)</f>
        <v>630.43344000000002</v>
      </c>
      <c r="N10" s="7">
        <f t="shared" ca="1" si="0"/>
        <v>0</v>
      </c>
      <c r="O10" s="7">
        <f ca="1">$N41+(($N40-$N41)*S$2)</f>
        <v>630.43344000000002</v>
      </c>
      <c r="P10" s="5"/>
      <c r="Q10" s="5"/>
      <c r="R10" s="5"/>
      <c r="S10" s="5"/>
      <c r="T10" s="5"/>
      <c r="U10" s="5"/>
    </row>
    <row r="11" spans="1:21">
      <c r="A11" s="417" t="s">
        <v>67</v>
      </c>
      <c r="B11" s="421">
        <v>-5616</v>
      </c>
      <c r="C11" s="421">
        <f>B11</f>
        <v>-5616</v>
      </c>
      <c r="D11" s="421">
        <f>C11</f>
        <v>-5616</v>
      </c>
      <c r="E11" s="422">
        <v>-5616</v>
      </c>
      <c r="F11" s="421">
        <f>E11</f>
        <v>-5616</v>
      </c>
      <c r="G11" s="421">
        <f>F11</f>
        <v>-5616</v>
      </c>
      <c r="H11" s="422">
        <v>-5616</v>
      </c>
      <c r="I11" s="421">
        <f>H11</f>
        <v>-5616</v>
      </c>
      <c r="J11" s="423">
        <f>I11</f>
        <v>-5616</v>
      </c>
      <c r="K11" s="421"/>
      <c r="L11" s="5"/>
      <c r="M11" s="5"/>
      <c r="N11" s="5"/>
      <c r="O11" s="5"/>
      <c r="P11" s="8"/>
      <c r="Q11" s="8"/>
      <c r="R11" s="9"/>
      <c r="S11" s="5"/>
      <c r="T11" s="5"/>
      <c r="U11" s="5"/>
    </row>
    <row r="12" spans="1:21">
      <c r="A12" s="417" t="s">
        <v>68</v>
      </c>
      <c r="B12" s="424">
        <f ca="1">B10-B11</f>
        <v>152235.46869053677</v>
      </c>
      <c r="C12" s="424">
        <f ca="1">C10-C11</f>
        <v>144662.93279906866</v>
      </c>
      <c r="D12" s="424">
        <f ca="1">D14*D13</f>
        <v>167266.28887386183</v>
      </c>
      <c r="E12" s="425">
        <f ca="1">E10-E11</f>
        <v>246186.61744640075</v>
      </c>
      <c r="F12" s="424">
        <f ca="1">F10-F11</f>
        <v>119134.72659953038</v>
      </c>
      <c r="G12" s="424">
        <f ca="1">G14*G13</f>
        <v>364132.88891009701</v>
      </c>
      <c r="H12" s="425">
        <f ca="1">H10-H11</f>
        <v>342867.8559193525</v>
      </c>
      <c r="I12" s="424">
        <f ca="1">I10-I11</f>
        <v>126577.96660405895</v>
      </c>
      <c r="J12" s="426">
        <f ca="1">J14*J13</f>
        <v>502952.16094073799</v>
      </c>
      <c r="K12" s="418"/>
      <c r="L12" s="5"/>
      <c r="M12" s="5"/>
      <c r="N12" s="5"/>
      <c r="O12" s="5"/>
      <c r="P12" s="8"/>
      <c r="Q12" s="8"/>
      <c r="R12" s="9"/>
      <c r="S12" s="5"/>
      <c r="T12" s="5"/>
      <c r="U12" s="5"/>
    </row>
    <row r="13" spans="1:21">
      <c r="A13" s="417" t="s">
        <v>69</v>
      </c>
      <c r="B13" s="421">
        <v>2517</v>
      </c>
      <c r="C13" s="421">
        <f>$B$13</f>
        <v>2517</v>
      </c>
      <c r="D13" s="421">
        <f>$B$13</f>
        <v>2517</v>
      </c>
      <c r="E13" s="422">
        <v>2517</v>
      </c>
      <c r="F13" s="421">
        <f>$B$13</f>
        <v>2517</v>
      </c>
      <c r="G13" s="421">
        <f>$B$13</f>
        <v>2517</v>
      </c>
      <c r="H13" s="422">
        <v>2517</v>
      </c>
      <c r="I13" s="421">
        <f>$B$13</f>
        <v>2517</v>
      </c>
      <c r="J13" s="423">
        <f>$B$13</f>
        <v>2517</v>
      </c>
      <c r="K13" s="421"/>
      <c r="L13" s="5"/>
      <c r="M13" s="5"/>
      <c r="N13" s="5"/>
      <c r="O13" s="5"/>
      <c r="P13" s="8"/>
      <c r="Q13" s="8"/>
      <c r="R13" s="9"/>
      <c r="S13" s="5"/>
      <c r="T13" s="5"/>
      <c r="U13" s="5"/>
    </row>
    <row r="14" spans="1:21">
      <c r="A14" s="427" t="s">
        <v>70</v>
      </c>
      <c r="B14" s="428">
        <f ca="1">B12/B13</f>
        <v>60.48290373084496</v>
      </c>
      <c r="C14" s="428">
        <f ca="1">C12/C13</f>
        <v>57.474347556245</v>
      </c>
      <c r="D14" s="428">
        <f ca="1">D$7*D4</f>
        <v>66.454624105626479</v>
      </c>
      <c r="E14" s="429">
        <f ca="1">E12/E13</f>
        <v>97.809542092332435</v>
      </c>
      <c r="F14" s="428">
        <f ca="1">F12/F13</f>
        <v>47.332032816658867</v>
      </c>
      <c r="G14" s="428">
        <f ca="1">G$7*G4</f>
        <v>144.6694036194267</v>
      </c>
      <c r="H14" s="429">
        <f ca="1">H12/H13</f>
        <v>136.22084065131207</v>
      </c>
      <c r="I14" s="428">
        <f ca="1">I12/I13</f>
        <v>50.289219945990844</v>
      </c>
      <c r="J14" s="430">
        <f ca="1">J$7*J4</f>
        <v>199.8220742712507</v>
      </c>
      <c r="K14" s="428"/>
      <c r="L14" s="5"/>
      <c r="M14" s="5"/>
      <c r="N14" s="5"/>
      <c r="O14" s="5"/>
      <c r="P14" s="8"/>
      <c r="Q14" s="8"/>
      <c r="R14" s="9"/>
      <c r="S14" s="5"/>
      <c r="T14" s="5"/>
      <c r="U14" s="5"/>
    </row>
    <row r="15" spans="1:21">
      <c r="A15" s="5"/>
      <c r="B15" s="12"/>
      <c r="C15" s="12"/>
      <c r="D15" s="12"/>
      <c r="E15" s="415"/>
      <c r="F15" s="12"/>
      <c r="G15" s="12"/>
      <c r="H15" s="415"/>
      <c r="I15" s="12"/>
      <c r="J15" s="431"/>
      <c r="K15" s="12"/>
      <c r="L15" s="5"/>
      <c r="M15" s="5"/>
      <c r="N15" s="5"/>
      <c r="O15" s="5"/>
      <c r="P15" s="8"/>
      <c r="Q15" s="8"/>
      <c r="R15" s="9"/>
      <c r="S15" s="5"/>
      <c r="T15" s="5"/>
      <c r="U15" s="5"/>
    </row>
    <row r="16" spans="1:21">
      <c r="A16" s="432" t="s">
        <v>43</v>
      </c>
      <c r="B16" s="12"/>
      <c r="C16" s="12"/>
      <c r="D16" s="12"/>
      <c r="E16" s="415"/>
      <c r="F16" s="12"/>
      <c r="G16" s="12"/>
      <c r="H16" s="415"/>
      <c r="I16" s="12"/>
      <c r="J16" s="431"/>
      <c r="K16" s="12"/>
      <c r="L16" s="5"/>
      <c r="M16" s="5"/>
      <c r="N16" s="5"/>
      <c r="O16" s="5"/>
      <c r="P16" s="8"/>
      <c r="Q16" s="8"/>
      <c r="R16" s="9"/>
      <c r="S16" s="5"/>
      <c r="T16" s="5"/>
      <c r="U16" s="5"/>
    </row>
    <row r="17" spans="1:21">
      <c r="A17" s="417" t="s">
        <v>65</v>
      </c>
      <c r="B17" s="418">
        <f ca="1">B5*B$7</f>
        <v>217496.39400938517</v>
      </c>
      <c r="C17" s="418">
        <f ca="1">C5*C$7</f>
        <v>191618.36499513159</v>
      </c>
      <c r="D17" s="418">
        <f ca="1">D19+D18</f>
        <v>204605.82343235007</v>
      </c>
      <c r="E17" s="419">
        <f ca="1">E5*E$7</f>
        <v>367280.75494931097</v>
      </c>
      <c r="F17" s="418">
        <f ca="1">F5*F$7</f>
        <v>194161.78075777777</v>
      </c>
      <c r="G17" s="418">
        <f ca="1">G19+G18</f>
        <v>572814.48115808214</v>
      </c>
      <c r="H17" s="419">
        <f ca="1">H5*H$7</f>
        <v>505257.46387610835</v>
      </c>
      <c r="I17" s="418">
        <f ca="1">I5*I$7</f>
        <v>206724.89806178489</v>
      </c>
      <c r="J17" s="420">
        <f ca="1">J19+J18</f>
        <v>758232.55871780822</v>
      </c>
      <c r="K17" s="418"/>
      <c r="L17" s="5"/>
      <c r="M17" s="5"/>
      <c r="N17" s="5"/>
      <c r="O17" s="5"/>
      <c r="P17" s="5"/>
      <c r="Q17" s="5"/>
      <c r="R17" s="5"/>
      <c r="S17" s="5"/>
      <c r="T17" s="5"/>
      <c r="U17" s="5"/>
    </row>
    <row r="18" spans="1:21">
      <c r="A18" s="417" t="s">
        <v>67</v>
      </c>
      <c r="B18" s="421">
        <f>B11</f>
        <v>-5616</v>
      </c>
      <c r="C18" s="421">
        <f>C11</f>
        <v>-5616</v>
      </c>
      <c r="D18" s="421">
        <f>C18</f>
        <v>-5616</v>
      </c>
      <c r="E18" s="422">
        <f>E11</f>
        <v>-5616</v>
      </c>
      <c r="F18" s="421">
        <f>F11</f>
        <v>-5616</v>
      </c>
      <c r="G18" s="421">
        <f>F18</f>
        <v>-5616</v>
      </c>
      <c r="H18" s="422">
        <f>H11</f>
        <v>-5616</v>
      </c>
      <c r="I18" s="421">
        <f>I11</f>
        <v>-5616</v>
      </c>
      <c r="J18" s="423">
        <f>I18</f>
        <v>-5616</v>
      </c>
      <c r="K18" s="421"/>
      <c r="L18" s="5"/>
      <c r="M18" s="5"/>
      <c r="N18" s="5"/>
      <c r="O18" s="5"/>
      <c r="P18" s="5"/>
      <c r="Q18" s="5"/>
      <c r="R18" s="5"/>
      <c r="S18" s="5"/>
      <c r="T18" s="5"/>
      <c r="U18" s="5"/>
    </row>
    <row r="19" spans="1:21">
      <c r="A19" s="417" t="s">
        <v>68</v>
      </c>
      <c r="B19" s="424">
        <f ca="1">B17-B18</f>
        <v>223112.39400938517</v>
      </c>
      <c r="C19" s="424">
        <f ca="1">C17-C18</f>
        <v>197234.36499513159</v>
      </c>
      <c r="D19" s="424">
        <f ca="1">D21*D20</f>
        <v>210221.82343235007</v>
      </c>
      <c r="E19" s="425">
        <f ca="1">E17-E18</f>
        <v>372896.75494931097</v>
      </c>
      <c r="F19" s="424">
        <f ca="1">F17-F18</f>
        <v>199777.78075777777</v>
      </c>
      <c r="G19" s="424">
        <f ca="1">G21*G20</f>
        <v>578430.48115808214</v>
      </c>
      <c r="H19" s="425">
        <f ca="1">H17-H18</f>
        <v>510873.46387610835</v>
      </c>
      <c r="I19" s="424">
        <f ca="1">I17-I18</f>
        <v>212340.89806178489</v>
      </c>
      <c r="J19" s="426">
        <f ca="1">J21*J20</f>
        <v>763848.55871780822</v>
      </c>
      <c r="K19" s="418"/>
      <c r="L19" s="5"/>
      <c r="M19" s="5"/>
      <c r="N19" s="5"/>
      <c r="O19" s="5"/>
      <c r="P19" s="5"/>
      <c r="Q19" s="5"/>
      <c r="R19" s="5"/>
      <c r="S19" s="5"/>
      <c r="T19" s="5"/>
      <c r="U19" s="5"/>
    </row>
    <row r="20" spans="1:21">
      <c r="A20" s="417" t="s">
        <v>69</v>
      </c>
      <c r="B20" s="421">
        <f>B13</f>
        <v>2517</v>
      </c>
      <c r="C20" s="421">
        <f>C13</f>
        <v>2517</v>
      </c>
      <c r="D20" s="421">
        <f>$B$13</f>
        <v>2517</v>
      </c>
      <c r="E20" s="422">
        <f>E13</f>
        <v>2517</v>
      </c>
      <c r="F20" s="421">
        <f>F13</f>
        <v>2517</v>
      </c>
      <c r="G20" s="421">
        <f>$B$13</f>
        <v>2517</v>
      </c>
      <c r="H20" s="422">
        <f>H13</f>
        <v>2517</v>
      </c>
      <c r="I20" s="421">
        <f>I13</f>
        <v>2517</v>
      </c>
      <c r="J20" s="423">
        <f>$B$13</f>
        <v>2517</v>
      </c>
      <c r="K20" s="421"/>
      <c r="L20" s="5"/>
      <c r="M20" s="5"/>
      <c r="N20" s="5"/>
      <c r="O20" s="5"/>
      <c r="P20" s="5"/>
      <c r="Q20" s="5"/>
      <c r="R20" s="5"/>
      <c r="S20" s="5"/>
      <c r="T20" s="5"/>
      <c r="U20" s="5"/>
    </row>
    <row r="21" spans="1:21">
      <c r="A21" s="427" t="s">
        <v>70</v>
      </c>
      <c r="B21" s="428">
        <f ca="1">B19/B20</f>
        <v>88.642190706946835</v>
      </c>
      <c r="C21" s="428">
        <f ca="1">C19/C20</f>
        <v>78.360891932908856</v>
      </c>
      <c r="D21" s="428">
        <f ca="1">D$7*D5</f>
        <v>83.52078801444182</v>
      </c>
      <c r="E21" s="429">
        <f ca="1">E19/E20</f>
        <v>148.15127332114062</v>
      </c>
      <c r="F21" s="428">
        <f ca="1">F19/F20</f>
        <v>79.371386872378935</v>
      </c>
      <c r="G21" s="428">
        <f ca="1">G$7*G5</f>
        <v>229.80948794520546</v>
      </c>
      <c r="H21" s="429">
        <f ca="1">H19/H20</f>
        <v>202.96919502427824</v>
      </c>
      <c r="I21" s="428">
        <f ca="1">I19/I20</f>
        <v>84.362692912906198</v>
      </c>
      <c r="J21" s="430">
        <f ca="1">J$7*J5</f>
        <v>303.47578812785389</v>
      </c>
      <c r="K21" s="428"/>
      <c r="L21" s="5"/>
      <c r="M21" s="5"/>
      <c r="N21" s="5"/>
      <c r="O21" s="5"/>
      <c r="P21" s="5"/>
      <c r="Q21" s="5"/>
      <c r="R21" s="5"/>
      <c r="S21" s="5"/>
      <c r="T21" s="5"/>
      <c r="U21" s="5"/>
    </row>
    <row r="22" spans="1:21">
      <c r="A22" s="5"/>
      <c r="B22" s="12"/>
      <c r="C22" s="12"/>
      <c r="D22" s="12"/>
      <c r="E22" s="415"/>
      <c r="F22" s="12"/>
      <c r="G22" s="12"/>
      <c r="H22" s="415"/>
      <c r="I22" s="12"/>
      <c r="J22" s="431"/>
      <c r="K22" s="12"/>
      <c r="L22" s="5"/>
      <c r="M22" s="5"/>
      <c r="N22" s="5"/>
      <c r="O22" s="5"/>
      <c r="P22" s="5"/>
      <c r="Q22" s="5"/>
      <c r="R22" s="5"/>
      <c r="S22" s="5"/>
      <c r="T22" s="5"/>
      <c r="U22" s="5"/>
    </row>
    <row r="23" spans="1:21">
      <c r="A23" s="432" t="s">
        <v>44</v>
      </c>
      <c r="B23" s="12"/>
      <c r="C23" s="12"/>
      <c r="D23" s="12"/>
      <c r="E23" s="415"/>
      <c r="F23" s="12"/>
      <c r="G23" s="12"/>
      <c r="H23" s="415"/>
      <c r="I23" s="12"/>
      <c r="J23" s="431"/>
      <c r="K23" s="12"/>
      <c r="L23" s="5"/>
      <c r="M23" s="5"/>
      <c r="N23" s="5"/>
      <c r="O23" s="5"/>
      <c r="P23" s="5"/>
      <c r="Q23" s="5"/>
      <c r="R23" s="5"/>
      <c r="S23" s="5"/>
      <c r="T23" s="5"/>
      <c r="U23" s="5"/>
    </row>
    <row r="24" spans="1:21">
      <c r="A24" s="417" t="s">
        <v>65</v>
      </c>
      <c r="B24" s="418">
        <f ca="1">B6*B$7</f>
        <v>76927.62749479452</v>
      </c>
      <c r="C24" s="418">
        <f ca="1">C6*C$7</f>
        <v>70036.685966606616</v>
      </c>
      <c r="D24" s="418">
        <f ca="1">D26+D25</f>
        <v>134055.60067796608</v>
      </c>
      <c r="E24" s="419">
        <f ca="1">E6*E$7</f>
        <v>127739.88094772116</v>
      </c>
      <c r="F24" s="418">
        <f ca="1">F6*F$7</f>
        <v>40559.816148084137</v>
      </c>
      <c r="G24" s="418">
        <f ca="1">G26+G25</f>
        <v>227794.32111801242</v>
      </c>
      <c r="H24" s="419">
        <f ca="1">H6*H$7</f>
        <v>195332.72810219025</v>
      </c>
      <c r="I24" s="418">
        <f ca="1">I6*I$7</f>
        <v>49415.653383987119</v>
      </c>
      <c r="J24" s="420">
        <f ca="1">J26+J25</f>
        <v>328935.7213483146</v>
      </c>
      <c r="K24" s="418"/>
      <c r="L24" s="5"/>
      <c r="M24" s="5"/>
      <c r="N24" s="5"/>
      <c r="O24" s="5"/>
      <c r="P24" s="5"/>
      <c r="Q24" s="5"/>
      <c r="R24" s="5"/>
      <c r="S24" s="5"/>
      <c r="T24" s="5"/>
      <c r="U24" s="5"/>
    </row>
    <row r="25" spans="1:21">
      <c r="A25" s="417" t="s">
        <v>67</v>
      </c>
      <c r="B25" s="421">
        <f>B18</f>
        <v>-5616</v>
      </c>
      <c r="C25" s="421">
        <f>C18</f>
        <v>-5616</v>
      </c>
      <c r="D25" s="421">
        <f>C25</f>
        <v>-5616</v>
      </c>
      <c r="E25" s="422">
        <f>E18</f>
        <v>-5616</v>
      </c>
      <c r="F25" s="421">
        <f>F18</f>
        <v>-5616</v>
      </c>
      <c r="G25" s="421">
        <f>F25</f>
        <v>-5616</v>
      </c>
      <c r="H25" s="422">
        <f>H18</f>
        <v>-5616</v>
      </c>
      <c r="I25" s="421">
        <f>I18</f>
        <v>-5616</v>
      </c>
      <c r="J25" s="423">
        <f>I25</f>
        <v>-5616</v>
      </c>
      <c r="K25" s="421"/>
      <c r="L25" s="5"/>
      <c r="M25" s="5"/>
      <c r="N25" s="5"/>
      <c r="O25" s="5"/>
      <c r="P25" s="5"/>
      <c r="Q25" s="5"/>
      <c r="R25" s="5"/>
      <c r="S25" s="5"/>
      <c r="T25" s="5"/>
      <c r="U25" s="5"/>
    </row>
    <row r="26" spans="1:21">
      <c r="A26" s="417" t="s">
        <v>68</v>
      </c>
      <c r="B26" s="424">
        <f ca="1">B24-B25</f>
        <v>82543.62749479452</v>
      </c>
      <c r="C26" s="424">
        <f ca="1">C24-C25</f>
        <v>75652.685966606616</v>
      </c>
      <c r="D26" s="424">
        <f ca="1">D28*D27</f>
        <v>139671.60067796608</v>
      </c>
      <c r="E26" s="425">
        <f ca="1">E24-E25</f>
        <v>133355.88094772116</v>
      </c>
      <c r="F26" s="424">
        <f ca="1">F24-F25</f>
        <v>46175.816148084137</v>
      </c>
      <c r="G26" s="424">
        <f ca="1">G28*G27</f>
        <v>233410.32111801242</v>
      </c>
      <c r="H26" s="425">
        <f ca="1">H24-H25</f>
        <v>200948.72810219025</v>
      </c>
      <c r="I26" s="424">
        <f ca="1">I24-I25</f>
        <v>55031.653383987119</v>
      </c>
      <c r="J26" s="426">
        <f ca="1">J28*J27</f>
        <v>334551.7213483146</v>
      </c>
      <c r="K26" s="418"/>
      <c r="L26" s="5"/>
      <c r="M26" s="5"/>
      <c r="N26" s="5"/>
      <c r="O26" s="5"/>
      <c r="P26" s="5"/>
      <c r="Q26" s="5"/>
      <c r="R26" s="5"/>
      <c r="S26" s="5"/>
      <c r="T26" s="5"/>
      <c r="U26" s="5"/>
    </row>
    <row r="27" spans="1:21">
      <c r="A27" s="417" t="s">
        <v>69</v>
      </c>
      <c r="B27" s="421">
        <f>B20</f>
        <v>2517</v>
      </c>
      <c r="C27" s="421">
        <f>C20</f>
        <v>2517</v>
      </c>
      <c r="D27" s="421">
        <f>$B$13</f>
        <v>2517</v>
      </c>
      <c r="E27" s="422">
        <v>2517</v>
      </c>
      <c r="F27" s="421">
        <f>F20</f>
        <v>2517</v>
      </c>
      <c r="G27" s="421">
        <f>$B$13</f>
        <v>2517</v>
      </c>
      <c r="H27" s="422">
        <v>2517</v>
      </c>
      <c r="I27" s="421">
        <f>I20</f>
        <v>2517</v>
      </c>
      <c r="J27" s="423">
        <f>$B$13</f>
        <v>2517</v>
      </c>
      <c r="K27" s="421"/>
      <c r="L27" s="5"/>
      <c r="M27" s="5"/>
      <c r="N27" s="5"/>
      <c r="O27" s="5"/>
      <c r="P27" s="5"/>
      <c r="Q27" s="5"/>
      <c r="R27" s="5"/>
      <c r="S27" s="5"/>
      <c r="T27" s="5"/>
      <c r="U27" s="5"/>
    </row>
    <row r="28" spans="1:21">
      <c r="A28" s="440" t="s">
        <v>70</v>
      </c>
      <c r="B28" s="441">
        <f ca="1">B26/B27</f>
        <v>32.794448746442001</v>
      </c>
      <c r="C28" s="441">
        <f ca="1">C26/C27</f>
        <v>30.056688902108309</v>
      </c>
      <c r="D28" s="441">
        <f ca="1">D$7*D6</f>
        <v>55.491299435028246</v>
      </c>
      <c r="E28" s="442">
        <f ca="1">E26/E27</f>
        <v>52.982074274025095</v>
      </c>
      <c r="F28" s="441">
        <f ca="1">F26/F27</f>
        <v>18.345576538770018</v>
      </c>
      <c r="G28" s="441">
        <f ca="1">G$7*G6</f>
        <v>92.733540372670802</v>
      </c>
      <c r="H28" s="442">
        <f ca="1">H26/H27</f>
        <v>79.836602344930569</v>
      </c>
      <c r="I28" s="441">
        <f ca="1">I26/I27</f>
        <v>21.863986247114468</v>
      </c>
      <c r="J28" s="443">
        <f ca="1">J$7*J6</f>
        <v>132.91685393258427</v>
      </c>
      <c r="K28" s="428"/>
      <c r="L28" s="5"/>
      <c r="M28" s="5"/>
      <c r="N28" s="5"/>
      <c r="O28" s="5"/>
      <c r="P28" s="5"/>
      <c r="Q28" s="5"/>
      <c r="R28" s="5"/>
      <c r="S28" s="5"/>
      <c r="T28" s="5"/>
      <c r="U28" s="5"/>
    </row>
    <row r="29" spans="1:21">
      <c r="A29" s="5"/>
      <c r="B29" s="5"/>
      <c r="C29" s="5"/>
      <c r="D29" s="5"/>
      <c r="E29" s="5"/>
      <c r="F29" s="5"/>
      <c r="G29" s="5"/>
      <c r="H29" s="5"/>
      <c r="I29" s="5"/>
      <c r="J29" s="5"/>
      <c r="K29" s="5"/>
      <c r="L29" s="5"/>
      <c r="M29" s="5"/>
      <c r="N29" s="5"/>
      <c r="O29" s="5"/>
      <c r="P29" s="5"/>
      <c r="Q29" s="5"/>
      <c r="R29" s="5"/>
      <c r="S29" s="5"/>
      <c r="T29" s="5"/>
      <c r="U29" s="5"/>
    </row>
    <row r="30" spans="1:21">
      <c r="A30" s="5"/>
      <c r="B30" s="5"/>
      <c r="C30" s="5"/>
      <c r="D30" s="5"/>
      <c r="E30" s="5"/>
      <c r="F30" s="5"/>
      <c r="G30" s="5"/>
      <c r="H30" s="5"/>
      <c r="I30" s="5"/>
      <c r="J30" s="5"/>
      <c r="K30" s="5"/>
      <c r="L30" s="5"/>
      <c r="M30" s="5"/>
      <c r="N30" s="5"/>
      <c r="O30" s="5"/>
      <c r="P30" s="5"/>
      <c r="Q30" s="5"/>
      <c r="R30" s="5"/>
      <c r="S30" s="5"/>
      <c r="T30" s="5"/>
      <c r="U30" s="5"/>
    </row>
    <row r="31" spans="1:21">
      <c r="A31" s="5"/>
      <c r="B31" s="5"/>
      <c r="C31" s="5"/>
      <c r="D31" s="5"/>
      <c r="E31" s="5"/>
      <c r="F31" s="5"/>
      <c r="G31" s="5"/>
      <c r="H31" s="5"/>
      <c r="I31" s="5"/>
      <c r="J31" s="5"/>
      <c r="K31" s="5"/>
      <c r="L31" s="5"/>
      <c r="M31" s="5"/>
      <c r="N31" s="5"/>
      <c r="O31" s="5"/>
      <c r="P31" s="5"/>
      <c r="Q31" s="5"/>
      <c r="R31" s="5"/>
      <c r="S31" s="5"/>
      <c r="T31" s="5"/>
      <c r="U31" s="5"/>
    </row>
    <row r="32" spans="1:21">
      <c r="A32" s="5"/>
      <c r="B32" s="5"/>
      <c r="C32" s="5"/>
      <c r="D32" s="5"/>
      <c r="E32" s="5"/>
      <c r="F32" s="5"/>
      <c r="G32" s="5"/>
      <c r="H32" s="5"/>
      <c r="I32" s="5"/>
      <c r="J32" s="5"/>
      <c r="K32" s="5"/>
      <c r="L32" s="5"/>
      <c r="M32" s="5"/>
      <c r="N32" s="5"/>
      <c r="O32" s="5"/>
      <c r="P32" s="5"/>
      <c r="Q32" s="5"/>
      <c r="R32" s="5"/>
      <c r="S32" s="5"/>
      <c r="T32" s="5"/>
      <c r="U32" s="5"/>
    </row>
    <row r="33" spans="1:21">
      <c r="A33" s="5"/>
      <c r="B33" s="5"/>
      <c r="C33" s="5"/>
      <c r="D33" s="5"/>
      <c r="E33" s="5"/>
      <c r="F33" s="5"/>
      <c r="G33" s="5"/>
      <c r="H33" s="5"/>
      <c r="I33" s="5"/>
      <c r="J33" s="5"/>
      <c r="K33" s="5"/>
      <c r="L33" s="5"/>
      <c r="M33" s="5"/>
      <c r="N33" s="5"/>
      <c r="O33" s="5"/>
      <c r="P33" s="5"/>
      <c r="Q33" s="5"/>
      <c r="R33" s="5"/>
      <c r="S33" s="5"/>
      <c r="T33" s="5"/>
      <c r="U33" s="5"/>
    </row>
    <row r="34" spans="1:21">
      <c r="A34" s="5"/>
      <c r="B34" s="5"/>
      <c r="C34" s="5"/>
      <c r="D34" s="5"/>
      <c r="E34" s="5"/>
      <c r="F34" s="5"/>
      <c r="G34" s="5"/>
      <c r="H34" s="5"/>
      <c r="I34" s="5"/>
      <c r="J34" s="5"/>
      <c r="K34" s="5"/>
      <c r="L34" s="433" t="s">
        <v>71</v>
      </c>
      <c r="M34" s="434"/>
      <c r="N34" s="435" t="s">
        <v>72</v>
      </c>
      <c r="O34" s="5"/>
      <c r="P34" s="5"/>
      <c r="Q34" s="5"/>
      <c r="R34" s="5"/>
      <c r="S34" s="5"/>
      <c r="T34" s="5"/>
      <c r="U34" s="5"/>
    </row>
    <row r="35" spans="1:21">
      <c r="A35" s="5"/>
      <c r="B35" s="5"/>
      <c r="C35" s="5"/>
      <c r="D35" s="5"/>
      <c r="E35" s="5"/>
      <c r="F35" s="5"/>
      <c r="G35" s="5"/>
      <c r="H35" s="5"/>
      <c r="I35" s="5"/>
      <c r="J35" s="5"/>
      <c r="K35" s="5"/>
      <c r="L35" s="283" t="s">
        <v>73</v>
      </c>
      <c r="M35" s="10">
        <f>'Precedent Transaction Output'!AC17</f>
        <v>432.99</v>
      </c>
      <c r="N35" s="436"/>
      <c r="O35" s="5"/>
      <c r="P35" s="5"/>
      <c r="Q35" s="5"/>
      <c r="R35" s="5"/>
      <c r="S35" s="5"/>
      <c r="T35" s="5"/>
      <c r="U35" s="5"/>
    </row>
    <row r="36" spans="1:21">
      <c r="A36" s="5"/>
      <c r="B36" s="5"/>
      <c r="C36" s="5"/>
      <c r="D36" s="5"/>
      <c r="E36" s="5"/>
      <c r="F36" s="5"/>
      <c r="G36" s="5"/>
      <c r="H36" s="5"/>
      <c r="I36" s="5"/>
      <c r="J36" s="5"/>
      <c r="K36" s="5"/>
      <c r="L36" s="283" t="s">
        <v>74</v>
      </c>
      <c r="M36" s="11">
        <f ca="1">'Precedent Transaction Output'!AC13</f>
        <v>0.38133333333333336</v>
      </c>
      <c r="N36" s="437">
        <f t="shared" ref="N36:N41" ca="1" si="1">$M$35*(1+M36)</f>
        <v>598.10352</v>
      </c>
      <c r="O36" s="5"/>
      <c r="P36" s="5"/>
      <c r="Q36" s="5"/>
      <c r="R36" s="5"/>
      <c r="S36" s="5"/>
      <c r="T36" s="5"/>
      <c r="U36" s="5"/>
    </row>
    <row r="37" spans="1:21">
      <c r="A37" s="12"/>
      <c r="B37" s="12"/>
      <c r="C37" s="12"/>
      <c r="D37" s="12"/>
      <c r="E37" s="12"/>
      <c r="F37" s="12"/>
      <c r="G37" s="12"/>
      <c r="H37" s="12"/>
      <c r="I37" s="12"/>
      <c r="J37" s="12"/>
      <c r="K37" s="12"/>
      <c r="L37" s="283" t="s">
        <v>75</v>
      </c>
      <c r="M37" s="11">
        <f ca="1">'Precedent Transaction Output'!AC14</f>
        <v>0.55000000000000004</v>
      </c>
      <c r="N37" s="437">
        <f t="shared" ca="1" si="1"/>
        <v>671.1345</v>
      </c>
      <c r="O37" s="12"/>
      <c r="P37" s="12"/>
      <c r="Q37" s="12"/>
      <c r="R37" s="12"/>
      <c r="S37" s="12"/>
      <c r="T37" s="12"/>
      <c r="U37" s="12"/>
    </row>
    <row r="38" spans="1:21">
      <c r="A38" s="12"/>
      <c r="B38" s="12"/>
      <c r="C38" s="12"/>
      <c r="D38" s="12"/>
      <c r="E38" s="12"/>
      <c r="F38" s="12"/>
      <c r="G38" s="12"/>
      <c r="H38" s="12"/>
      <c r="I38" s="12"/>
      <c r="J38" s="12"/>
      <c r="K38" s="12"/>
      <c r="L38" s="283" t="s">
        <v>76</v>
      </c>
      <c r="M38" s="11">
        <f ca="1">'Precedent Transaction Output'!AC15</f>
        <v>0.22399999999999998</v>
      </c>
      <c r="N38" s="437">
        <f t="shared" ca="1" si="1"/>
        <v>529.97976000000006</v>
      </c>
      <c r="O38" s="12"/>
      <c r="P38" s="12"/>
      <c r="Q38" s="12"/>
      <c r="R38" s="12"/>
      <c r="S38" s="12"/>
      <c r="T38" s="12"/>
      <c r="U38" s="12"/>
    </row>
    <row r="39" spans="1:21">
      <c r="A39" s="12"/>
      <c r="B39" s="12"/>
      <c r="C39" s="12"/>
      <c r="D39" s="12"/>
      <c r="E39" s="12"/>
      <c r="F39" s="12"/>
      <c r="G39" s="12"/>
      <c r="H39" s="12"/>
      <c r="I39" s="12"/>
      <c r="J39" s="12"/>
      <c r="K39" s="12"/>
      <c r="L39" s="283" t="s">
        <v>77</v>
      </c>
      <c r="M39" s="11">
        <f ca="1">'Precedent Transaction Output'!AE13</f>
        <v>0.45599999999999996</v>
      </c>
      <c r="N39" s="437">
        <f t="shared" ca="1" si="1"/>
        <v>630.43344000000002</v>
      </c>
      <c r="O39" s="12"/>
      <c r="P39" s="12"/>
      <c r="Q39" s="12"/>
      <c r="R39" s="12"/>
      <c r="S39" s="12"/>
      <c r="T39" s="12"/>
      <c r="U39" s="12"/>
    </row>
    <row r="40" spans="1:21">
      <c r="A40" s="12"/>
      <c r="B40" s="12"/>
      <c r="C40" s="12"/>
      <c r="D40" s="12"/>
      <c r="E40" s="12"/>
      <c r="F40" s="12"/>
      <c r="G40" s="12"/>
      <c r="H40" s="12"/>
      <c r="I40" s="12"/>
      <c r="J40" s="12"/>
      <c r="K40" s="12"/>
      <c r="L40" s="283" t="s">
        <v>78</v>
      </c>
      <c r="M40" s="11">
        <f ca="1">'Precedent Transaction Output'!AE14</f>
        <v>0.45599999999999996</v>
      </c>
      <c r="N40" s="437">
        <f t="shared" ca="1" si="1"/>
        <v>630.43344000000002</v>
      </c>
      <c r="O40" s="12"/>
      <c r="P40" s="12"/>
      <c r="Q40" s="12"/>
      <c r="R40" s="12"/>
      <c r="S40" s="12"/>
      <c r="T40" s="12"/>
      <c r="U40" s="12"/>
    </row>
    <row r="41" spans="1:21">
      <c r="A41" s="12"/>
      <c r="B41" s="12"/>
      <c r="C41" s="12"/>
      <c r="D41" s="12"/>
      <c r="E41" s="12"/>
      <c r="F41" s="12"/>
      <c r="G41" s="12"/>
      <c r="H41" s="12"/>
      <c r="I41" s="12"/>
      <c r="J41" s="12"/>
      <c r="K41" s="12"/>
      <c r="L41" s="319" t="s">
        <v>79</v>
      </c>
      <c r="M41" s="438">
        <f ca="1">'Precedent Transaction Output'!AE15</f>
        <v>0.45599999999999996</v>
      </c>
      <c r="N41" s="439">
        <f t="shared" ca="1" si="1"/>
        <v>630.43344000000002</v>
      </c>
      <c r="O41" s="12"/>
      <c r="P41" s="12"/>
      <c r="Q41" s="12"/>
      <c r="R41" s="12"/>
      <c r="S41" s="12"/>
      <c r="T41" s="12"/>
      <c r="U41" s="1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D16E3-4971-43E3-B4DE-7087BA7D6E9F}">
  <dimension ref="A1:T73"/>
  <sheetViews>
    <sheetView showGridLines="0" topLeftCell="A38" workbookViewId="0">
      <selection activeCell="A24" sqref="A24:E27"/>
    </sheetView>
  </sheetViews>
  <sheetFormatPr defaultRowHeight="15"/>
  <cols>
    <col min="4" max="4" width="10.5703125" bestFit="1" customWidth="1"/>
    <col min="5" max="5" width="13.140625" bestFit="1" customWidth="1"/>
    <col min="7" max="7" width="16" customWidth="1"/>
    <col min="12" max="13" width="10.42578125" bestFit="1" customWidth="1"/>
    <col min="16" max="16" width="16.7109375" customWidth="1"/>
    <col min="17" max="17" width="10.140625" customWidth="1"/>
    <col min="18" max="18" width="10.42578125" customWidth="1"/>
    <col min="19" max="19" width="12.7109375" bestFit="1" customWidth="1"/>
    <col min="20" max="20" width="8.85546875" customWidth="1"/>
  </cols>
  <sheetData>
    <row r="1" spans="1:20" ht="20.25">
      <c r="A1" s="111" t="str">
        <f>"Acquisition of "&amp;E5&amp;" by "&amp;E6</f>
        <v>Acquisition of Xilinx by AMD</v>
      </c>
      <c r="B1" s="112"/>
      <c r="C1" s="112"/>
      <c r="D1" s="112"/>
      <c r="E1" s="112"/>
      <c r="F1" s="112"/>
      <c r="G1" s="112"/>
      <c r="H1" s="112"/>
      <c r="I1" s="112"/>
      <c r="J1" s="112"/>
      <c r="K1" s="112"/>
      <c r="L1" s="112"/>
      <c r="M1" s="112"/>
      <c r="N1" s="112"/>
      <c r="O1" s="112"/>
      <c r="P1" s="113"/>
      <c r="Q1" s="113"/>
      <c r="R1" s="113"/>
      <c r="S1" s="113"/>
      <c r="T1" s="113"/>
    </row>
    <row r="2" spans="1:20">
      <c r="A2" s="114" t="str">
        <f>E9&amp;" in millions, except per share data"</f>
        <v>USD in millions, except per share data</v>
      </c>
      <c r="B2" s="112"/>
      <c r="C2" s="112"/>
      <c r="D2" s="112"/>
      <c r="E2" s="112"/>
      <c r="F2" s="112"/>
      <c r="G2" s="112"/>
      <c r="H2" s="112"/>
      <c r="I2" s="112"/>
      <c r="J2" s="112"/>
      <c r="K2" s="112"/>
      <c r="L2" s="112"/>
      <c r="M2" s="112"/>
      <c r="N2" s="112"/>
      <c r="O2" s="112"/>
      <c r="P2" s="450"/>
      <c r="Q2" s="450"/>
      <c r="R2" s="450"/>
      <c r="S2" s="450"/>
      <c r="T2" s="450"/>
    </row>
    <row r="3" spans="1:20" ht="15.75" thickBot="1">
      <c r="A3" s="112"/>
      <c r="B3" s="112"/>
      <c r="C3" s="112"/>
      <c r="D3" s="112"/>
      <c r="E3" s="112"/>
      <c r="F3" s="112"/>
      <c r="G3" s="112"/>
      <c r="H3" s="112"/>
      <c r="I3" s="112"/>
      <c r="J3" s="112"/>
      <c r="K3" s="112"/>
      <c r="L3" s="112"/>
      <c r="M3" s="112"/>
      <c r="N3" s="112"/>
      <c r="O3" s="112"/>
      <c r="P3" s="112"/>
      <c r="Q3" s="112"/>
      <c r="R3" s="112"/>
      <c r="S3" s="115"/>
      <c r="T3" s="112"/>
    </row>
    <row r="4" spans="1:20">
      <c r="A4" s="116" t="s">
        <v>80</v>
      </c>
      <c r="B4" s="117"/>
      <c r="C4" s="117"/>
      <c r="D4" s="117"/>
      <c r="E4" s="118"/>
      <c r="F4" s="112"/>
      <c r="G4" s="119" t="s">
        <v>81</v>
      </c>
      <c r="H4" s="120"/>
      <c r="I4" s="120"/>
      <c r="J4" s="120"/>
      <c r="K4" s="120"/>
      <c r="L4" s="120"/>
      <c r="M4" s="120"/>
      <c r="N4" s="121"/>
      <c r="O4" s="112"/>
      <c r="P4" s="116" t="s">
        <v>82</v>
      </c>
      <c r="Q4" s="117"/>
      <c r="R4" s="117"/>
      <c r="S4" s="117"/>
      <c r="T4" s="118"/>
    </row>
    <row r="5" spans="1:20">
      <c r="A5" s="122" t="s">
        <v>23</v>
      </c>
      <c r="B5" s="112"/>
      <c r="C5" s="112"/>
      <c r="D5" s="123"/>
      <c r="E5" s="364" t="s">
        <v>37</v>
      </c>
      <c r="F5" s="112"/>
      <c r="G5" s="124"/>
      <c r="H5" s="125"/>
      <c r="I5" s="125"/>
      <c r="J5" s="125"/>
      <c r="K5" s="112"/>
      <c r="L5" s="126" t="s">
        <v>83</v>
      </c>
      <c r="M5" s="126" t="s">
        <v>84</v>
      </c>
      <c r="N5" s="127"/>
      <c r="O5" s="112"/>
      <c r="P5" s="122" t="s">
        <v>85</v>
      </c>
      <c r="Q5" s="112"/>
      <c r="R5" s="112"/>
      <c r="S5" s="128"/>
      <c r="T5" s="129">
        <v>0</v>
      </c>
    </row>
    <row r="6" spans="1:20">
      <c r="A6" s="122" t="s">
        <v>24</v>
      </c>
      <c r="B6" s="112"/>
      <c r="C6" s="112"/>
      <c r="D6" s="123"/>
      <c r="E6" s="365" t="s">
        <v>86</v>
      </c>
      <c r="F6" s="112"/>
      <c r="G6" s="130"/>
      <c r="H6" s="125"/>
      <c r="I6" s="131"/>
      <c r="J6" s="132" t="str">
        <f>"FYE "&amp;TEXT($E$8,"mmmm d")&amp;","</f>
        <v>FYE April 3,</v>
      </c>
      <c r="K6" s="132"/>
      <c r="L6" s="126" t="s">
        <v>87</v>
      </c>
      <c r="M6" s="126" t="s">
        <v>87</v>
      </c>
      <c r="N6" s="133" t="s">
        <v>17</v>
      </c>
      <c r="O6" s="112"/>
      <c r="P6" s="122" t="s">
        <v>88</v>
      </c>
      <c r="Q6" s="134"/>
      <c r="R6" s="134"/>
      <c r="S6" s="134"/>
      <c r="T6" s="135">
        <f>+S7*S8</f>
        <v>133.99435</v>
      </c>
    </row>
    <row r="7" spans="1:20">
      <c r="A7" s="122" t="s">
        <v>89</v>
      </c>
      <c r="B7" s="112"/>
      <c r="C7" s="112"/>
      <c r="D7" s="123"/>
      <c r="E7" s="366">
        <v>44130</v>
      </c>
      <c r="F7" s="112"/>
      <c r="G7" s="137"/>
      <c r="H7" s="138"/>
      <c r="I7" s="139"/>
      <c r="J7" s="140">
        <f>E8-365</f>
        <v>43924</v>
      </c>
      <c r="K7" s="140">
        <f>E8</f>
        <v>44289</v>
      </c>
      <c r="L7" s="141">
        <f>+M7-364</f>
        <v>44198</v>
      </c>
      <c r="M7" s="142">
        <v>44562</v>
      </c>
      <c r="N7" s="143">
        <f>+M7</f>
        <v>44562</v>
      </c>
      <c r="O7" s="112"/>
      <c r="P7" s="46" t="s">
        <v>90</v>
      </c>
      <c r="Q7" s="112"/>
      <c r="R7" s="112"/>
      <c r="S7" s="144">
        <v>1.7234</v>
      </c>
      <c r="T7" s="145"/>
    </row>
    <row r="8" spans="1:20">
      <c r="A8" s="122" t="s">
        <v>91</v>
      </c>
      <c r="B8" s="112"/>
      <c r="C8" s="112"/>
      <c r="D8" s="146"/>
      <c r="E8" s="366">
        <v>44289</v>
      </c>
      <c r="F8" s="112"/>
      <c r="G8" s="147" t="s">
        <v>92</v>
      </c>
      <c r="H8" s="148"/>
      <c r="I8" s="149"/>
      <c r="J8" s="150">
        <v>3163</v>
      </c>
      <c r="K8" s="150">
        <v>3148</v>
      </c>
      <c r="L8" s="151">
        <v>2297</v>
      </c>
      <c r="M8" s="152">
        <v>2825</v>
      </c>
      <c r="N8" s="153">
        <f>K8+M8-L8</f>
        <v>3676</v>
      </c>
      <c r="O8" s="112"/>
      <c r="P8" s="46" t="s">
        <v>93</v>
      </c>
      <c r="Q8" s="112"/>
      <c r="R8" s="112"/>
      <c r="S8" s="154">
        <v>77.75</v>
      </c>
      <c r="T8" s="145"/>
    </row>
    <row r="9" spans="1:20">
      <c r="A9" s="122" t="s">
        <v>94</v>
      </c>
      <c r="B9" s="112"/>
      <c r="C9" s="112"/>
      <c r="D9" s="112"/>
      <c r="E9" s="365" t="s">
        <v>95</v>
      </c>
      <c r="F9" s="112"/>
      <c r="G9" s="155" t="s">
        <v>96</v>
      </c>
      <c r="H9" s="112"/>
      <c r="I9" s="156"/>
      <c r="J9" s="157">
        <v>1048</v>
      </c>
      <c r="K9" s="157">
        <v>995</v>
      </c>
      <c r="L9" s="158">
        <v>714</v>
      </c>
      <c r="M9" s="159">
        <v>882</v>
      </c>
      <c r="N9" s="160">
        <f>K9+M9-L9</f>
        <v>1163</v>
      </c>
      <c r="O9" s="161"/>
      <c r="P9" s="162" t="s">
        <v>97</v>
      </c>
      <c r="Q9" s="148"/>
      <c r="R9" s="148"/>
      <c r="S9" s="148"/>
      <c r="T9" s="163">
        <f>+T5+T6</f>
        <v>133.99435</v>
      </c>
    </row>
    <row r="10" spans="1:20">
      <c r="A10" s="112" t="s">
        <v>98</v>
      </c>
      <c r="B10" s="112"/>
      <c r="C10" s="112"/>
      <c r="D10" s="112"/>
      <c r="E10" s="365" t="s">
        <v>99</v>
      </c>
      <c r="F10" s="112"/>
      <c r="G10" s="164" t="s">
        <v>100</v>
      </c>
      <c r="H10" s="112"/>
      <c r="I10" s="165"/>
      <c r="J10" s="165">
        <f>+J8-J9</f>
        <v>2115</v>
      </c>
      <c r="K10" s="165">
        <f>+K8-K9</f>
        <v>2153</v>
      </c>
      <c r="L10" s="166">
        <f>+L8-L9</f>
        <v>1583</v>
      </c>
      <c r="M10" s="167">
        <f>+M8-M9</f>
        <v>1943</v>
      </c>
      <c r="N10" s="153">
        <f>+N8-N9</f>
        <v>2513</v>
      </c>
      <c r="O10" s="112"/>
      <c r="P10" s="168" t="s">
        <v>101</v>
      </c>
      <c r="Q10" s="112"/>
      <c r="R10" s="112"/>
      <c r="S10" s="112"/>
      <c r="T10" s="169">
        <f>+T27</f>
        <v>245</v>
      </c>
    </row>
    <row r="11" spans="1:20">
      <c r="A11" s="122" t="s">
        <v>102</v>
      </c>
      <c r="B11" s="112"/>
      <c r="C11" s="112"/>
      <c r="D11" s="112"/>
      <c r="E11" s="370">
        <v>0.21</v>
      </c>
      <c r="F11" s="112"/>
      <c r="G11" s="155" t="s">
        <v>103</v>
      </c>
      <c r="H11" s="170"/>
      <c r="I11" s="156"/>
      <c r="J11" s="171">
        <v>1323</v>
      </c>
      <c r="K11" s="157">
        <v>1400</v>
      </c>
      <c r="L11" s="172">
        <v>1029</v>
      </c>
      <c r="M11" s="173">
        <f>(376.678+790+7)</f>
        <v>1173.6779999999999</v>
      </c>
      <c r="N11" s="174">
        <f>K11+M11-L11</f>
        <v>1544.6779999999999</v>
      </c>
      <c r="O11" s="112"/>
      <c r="P11" s="175" t="s">
        <v>104</v>
      </c>
      <c r="Q11" s="112"/>
      <c r="R11" s="112"/>
      <c r="S11" s="112"/>
      <c r="T11" s="176">
        <f>+T10*T9</f>
        <v>32828.615749999997</v>
      </c>
    </row>
    <row r="12" spans="1:20">
      <c r="A12" s="177" t="s">
        <v>105</v>
      </c>
      <c r="B12" s="178"/>
      <c r="C12" s="178"/>
      <c r="D12" s="179"/>
      <c r="E12" s="180" t="s">
        <v>106</v>
      </c>
      <c r="F12" s="112"/>
      <c r="G12" s="164" t="s">
        <v>107</v>
      </c>
      <c r="H12" s="170"/>
      <c r="I12" s="165"/>
      <c r="J12" s="181">
        <f>J10-J11</f>
        <v>792</v>
      </c>
      <c r="K12" s="181">
        <f>K10-K11</f>
        <v>753</v>
      </c>
      <c r="L12" s="182">
        <f>L10-L11</f>
        <v>554</v>
      </c>
      <c r="M12" s="183">
        <f>M10-M11</f>
        <v>769.32200000000012</v>
      </c>
      <c r="N12" s="184">
        <f>N10-N11</f>
        <v>968.32200000000012</v>
      </c>
      <c r="O12" s="112"/>
      <c r="P12" s="122"/>
      <c r="Q12" s="112"/>
      <c r="R12" s="112"/>
      <c r="S12" s="112"/>
      <c r="T12" s="185"/>
    </row>
    <row r="13" spans="1:20">
      <c r="A13" s="112" t="s">
        <v>108</v>
      </c>
      <c r="B13" s="112"/>
      <c r="C13" s="112"/>
      <c r="D13" s="112"/>
      <c r="E13" s="368" t="s">
        <v>109</v>
      </c>
      <c r="F13" s="112"/>
      <c r="G13" s="155" t="s">
        <v>110</v>
      </c>
      <c r="H13" s="170"/>
      <c r="I13" s="186"/>
      <c r="J13" s="187">
        <v>-42</v>
      </c>
      <c r="K13" s="187">
        <v>23</v>
      </c>
      <c r="L13" s="188">
        <v>19</v>
      </c>
      <c r="M13" s="189">
        <v>-17</v>
      </c>
      <c r="N13" s="174">
        <f>K13+M13-L13</f>
        <v>-13</v>
      </c>
      <c r="O13" s="112"/>
      <c r="P13" s="168" t="s">
        <v>111</v>
      </c>
      <c r="Q13" s="112"/>
      <c r="R13" s="112"/>
      <c r="S13" s="186"/>
      <c r="T13" s="190">
        <v>1492</v>
      </c>
    </row>
    <row r="14" spans="1:20">
      <c r="A14" s="112" t="s">
        <v>112</v>
      </c>
      <c r="B14" s="112"/>
      <c r="C14" s="112"/>
      <c r="D14" s="112"/>
      <c r="E14" s="368">
        <v>1</v>
      </c>
      <c r="F14" s="112"/>
      <c r="G14" s="155" t="s">
        <v>113</v>
      </c>
      <c r="H14" s="170"/>
      <c r="I14" s="186"/>
      <c r="J14" s="191">
        <v>0</v>
      </c>
      <c r="K14" s="191">
        <v>0</v>
      </c>
      <c r="L14" s="192">
        <v>0</v>
      </c>
      <c r="M14" s="193">
        <v>0</v>
      </c>
      <c r="N14" s="160">
        <f>K14+M14-L14</f>
        <v>0</v>
      </c>
      <c r="O14" s="112"/>
      <c r="P14" s="168" t="s">
        <v>114</v>
      </c>
      <c r="Q14" s="112"/>
      <c r="R14" s="112"/>
      <c r="S14" s="112"/>
      <c r="T14" s="190">
        <v>0</v>
      </c>
    </row>
    <row r="15" spans="1:20">
      <c r="A15" s="112" t="s">
        <v>115</v>
      </c>
      <c r="B15" s="112"/>
      <c r="C15" s="112"/>
      <c r="D15" s="112"/>
      <c r="E15" s="371">
        <v>300</v>
      </c>
      <c r="F15" s="112"/>
      <c r="G15" s="164" t="s">
        <v>116</v>
      </c>
      <c r="H15" s="112"/>
      <c r="I15" s="165"/>
      <c r="J15" s="165">
        <f>J12-SUM(J13:J14)</f>
        <v>834</v>
      </c>
      <c r="K15" s="165">
        <f>K12-SUM(K13:K14)</f>
        <v>730</v>
      </c>
      <c r="L15" s="166">
        <f>L12-SUM(L13:L14)</f>
        <v>535</v>
      </c>
      <c r="M15" s="167">
        <f>M12-SUM(M13:M14)</f>
        <v>786.32200000000012</v>
      </c>
      <c r="N15" s="153">
        <f>N12-SUM(N13:N14)</f>
        <v>981.32200000000012</v>
      </c>
      <c r="O15" s="112"/>
      <c r="P15" s="168" t="s">
        <v>117</v>
      </c>
      <c r="Q15" s="112"/>
      <c r="R15" s="112"/>
      <c r="S15" s="112"/>
      <c r="T15" s="190">
        <v>0</v>
      </c>
    </row>
    <row r="16" spans="1:20">
      <c r="A16" s="112"/>
      <c r="B16" s="112"/>
      <c r="C16" s="112"/>
      <c r="D16" s="112"/>
      <c r="E16" s="185"/>
      <c r="F16" s="112"/>
      <c r="G16" s="194" t="s">
        <v>118</v>
      </c>
      <c r="H16" s="112"/>
      <c r="I16" s="186"/>
      <c r="J16" s="187">
        <v>41</v>
      </c>
      <c r="K16" s="187">
        <v>83</v>
      </c>
      <c r="L16" s="188">
        <v>76</v>
      </c>
      <c r="M16" s="189">
        <v>46</v>
      </c>
      <c r="N16" s="174">
        <f>K16+M16-L16</f>
        <v>53</v>
      </c>
      <c r="O16" s="112"/>
      <c r="P16" s="168" t="s">
        <v>119</v>
      </c>
      <c r="Q16" s="112"/>
      <c r="R16" s="112"/>
      <c r="S16" s="112"/>
      <c r="T16" s="190">
        <f>-(1226+2199)</f>
        <v>-3425</v>
      </c>
    </row>
    <row r="17" spans="1:20">
      <c r="A17" s="195" t="s">
        <v>120</v>
      </c>
      <c r="B17" s="196"/>
      <c r="C17" s="196"/>
      <c r="D17" s="197"/>
      <c r="E17" s="198"/>
      <c r="F17" s="112"/>
      <c r="G17" s="194" t="s">
        <v>121</v>
      </c>
      <c r="H17" s="112"/>
      <c r="I17" s="186"/>
      <c r="J17" s="187">
        <v>0</v>
      </c>
      <c r="K17" s="187">
        <v>0</v>
      </c>
      <c r="L17" s="188">
        <v>0</v>
      </c>
      <c r="M17" s="189">
        <v>0</v>
      </c>
      <c r="N17" s="199">
        <f>K17+M17-L17</f>
        <v>0</v>
      </c>
      <c r="O17" s="112"/>
      <c r="P17" s="175" t="s">
        <v>122</v>
      </c>
      <c r="Q17" s="112"/>
      <c r="R17" s="112"/>
      <c r="S17" s="112"/>
      <c r="T17" s="200">
        <f>SUM(T11:T16)</f>
        <v>30895.615749999997</v>
      </c>
    </row>
    <row r="18" spans="1:20">
      <c r="A18" s="451" t="s">
        <v>123</v>
      </c>
      <c r="B18" s="445"/>
      <c r="C18" s="445"/>
      <c r="D18" s="445"/>
      <c r="E18" s="452"/>
      <c r="F18" s="112"/>
      <c r="G18" s="194" t="s">
        <v>124</v>
      </c>
      <c r="H18" s="112"/>
      <c r="I18" s="186"/>
      <c r="J18" s="191">
        <v>0</v>
      </c>
      <c r="K18" s="191">
        <v>0</v>
      </c>
      <c r="L18" s="192">
        <v>0</v>
      </c>
      <c r="M18" s="193">
        <v>0</v>
      </c>
      <c r="N18" s="199">
        <f>K18+M18-L18</f>
        <v>0</v>
      </c>
      <c r="O18" s="112"/>
      <c r="P18" s="201"/>
      <c r="Q18" s="202"/>
      <c r="R18" s="202"/>
      <c r="S18" s="202"/>
      <c r="T18" s="203"/>
    </row>
    <row r="19" spans="1:20" ht="15.75" thickBot="1">
      <c r="A19" s="445"/>
      <c r="B19" s="445"/>
      <c r="C19" s="445"/>
      <c r="D19" s="445"/>
      <c r="E19" s="452"/>
      <c r="F19" s="112"/>
      <c r="G19" s="164" t="s">
        <v>125</v>
      </c>
      <c r="H19" s="112"/>
      <c r="I19" s="165"/>
      <c r="J19" s="204">
        <f>J15-SUM(J16:J18)</f>
        <v>793</v>
      </c>
      <c r="K19" s="204">
        <f>K15-SUM(K16:K18)</f>
        <v>647</v>
      </c>
      <c r="L19" s="205">
        <f>L15-SUM(L16:L18)</f>
        <v>459</v>
      </c>
      <c r="M19" s="206">
        <f>M15-SUM(M16:M18)</f>
        <v>740.32200000000012</v>
      </c>
      <c r="N19" s="207">
        <f>N15-SUM(N16:N18)</f>
        <v>928.32200000000012</v>
      </c>
      <c r="O19" s="112"/>
      <c r="P19" s="112"/>
      <c r="Q19" s="112"/>
      <c r="R19" s="112"/>
      <c r="S19" s="112"/>
      <c r="T19" s="112"/>
    </row>
    <row r="20" spans="1:20" ht="15.75" thickTop="1">
      <c r="A20" s="445"/>
      <c r="B20" s="445"/>
      <c r="C20" s="445"/>
      <c r="D20" s="445"/>
      <c r="E20" s="452"/>
      <c r="F20" s="112"/>
      <c r="G20" s="208" t="s">
        <v>126</v>
      </c>
      <c r="H20" s="112"/>
      <c r="I20" s="209"/>
      <c r="J20" s="209">
        <f>IF(ISERROR(J16/J15),"NA",(J16/J15))</f>
        <v>4.9160671462829736E-2</v>
      </c>
      <c r="K20" s="210">
        <f>IF(ISERROR(K16/K15),"NA",(K16/K15))</f>
        <v>0.11369863013698631</v>
      </c>
      <c r="L20" s="209">
        <f>IF(ISERROR(L16/L15),"NA",(L16/L15))</f>
        <v>0.14205607476635515</v>
      </c>
      <c r="M20" s="210">
        <f>IF(ISERROR(M16/M15),"NA",(M16/M15))</f>
        <v>5.8500207294212792E-2</v>
      </c>
      <c r="N20" s="211">
        <f>IF(ISERROR(N16/N15),"NA",(N16/N15))</f>
        <v>5.4008775916569683E-2</v>
      </c>
      <c r="O20" s="112"/>
      <c r="P20" s="116" t="s">
        <v>127</v>
      </c>
      <c r="Q20" s="212"/>
      <c r="R20" s="212"/>
      <c r="S20" s="212"/>
      <c r="T20" s="213"/>
    </row>
    <row r="21" spans="1:20" ht="18.75" customHeight="1">
      <c r="A21" s="453"/>
      <c r="B21" s="453"/>
      <c r="C21" s="453"/>
      <c r="D21" s="453"/>
      <c r="E21" s="454"/>
      <c r="F21" s="112"/>
      <c r="G21" s="137" t="s">
        <v>128</v>
      </c>
      <c r="H21" s="112"/>
      <c r="I21" s="186"/>
      <c r="J21" s="187">
        <v>255</v>
      </c>
      <c r="K21" s="187">
        <v>247</v>
      </c>
      <c r="L21" s="188">
        <v>247</v>
      </c>
      <c r="M21" s="189">
        <v>250</v>
      </c>
      <c r="N21" s="174">
        <f>+IF(ISERROR(K21+M21-L21),"NA",K21+M21-L21)</f>
        <v>250</v>
      </c>
      <c r="O21" s="112"/>
      <c r="P21" s="214" t="s">
        <v>129</v>
      </c>
      <c r="Q21" s="215"/>
      <c r="R21" s="215"/>
      <c r="S21" s="215"/>
      <c r="T21" s="190">
        <v>245</v>
      </c>
    </row>
    <row r="22" spans="1:20">
      <c r="A22" s="195"/>
      <c r="B22" s="196"/>
      <c r="C22" s="196"/>
      <c r="D22" s="197"/>
      <c r="E22" s="198"/>
      <c r="F22" s="112"/>
      <c r="G22" s="216" t="s">
        <v>130</v>
      </c>
      <c r="H22" s="217"/>
      <c r="I22" s="218"/>
      <c r="J22" s="218">
        <f>+IF(ISERROR(J19/J21),"NA",J19/J21)</f>
        <v>3.1098039215686275</v>
      </c>
      <c r="K22" s="218">
        <f>+IF(ISERROR(K19/K21),"NA",K19/K21)</f>
        <v>2.619433198380567</v>
      </c>
      <c r="L22" s="219">
        <f>+IF(ISERROR(L19/L21),"NA",L19/L21)</f>
        <v>1.8582995951417005</v>
      </c>
      <c r="M22" s="220">
        <f>+IF(ISERROR(M19/M21),"NA",M19/M21)</f>
        <v>2.9612880000000006</v>
      </c>
      <c r="N22" s="221">
        <f>+IF(ISERROR(K22+M22-L22),"NA",K22+M22-L22)</f>
        <v>3.7224216032388671</v>
      </c>
      <c r="O22" s="112"/>
      <c r="P22" s="214" t="s">
        <v>131</v>
      </c>
      <c r="Q22" s="215"/>
      <c r="R22" s="215"/>
      <c r="S22" s="215"/>
      <c r="T22" s="222">
        <f>+S37</f>
        <v>0</v>
      </c>
    </row>
    <row r="23" spans="1:20">
      <c r="A23" s="195" t="s">
        <v>132</v>
      </c>
      <c r="B23" s="223"/>
      <c r="C23" s="223"/>
      <c r="D23" s="223"/>
      <c r="E23" s="224"/>
      <c r="F23" s="112"/>
      <c r="G23" s="225"/>
      <c r="H23" s="202"/>
      <c r="I23" s="202"/>
      <c r="J23" s="202"/>
      <c r="K23" s="202"/>
      <c r="L23" s="202"/>
      <c r="M23" s="202"/>
      <c r="N23" s="226"/>
      <c r="O23" s="112"/>
      <c r="P23" s="214" t="s">
        <v>133</v>
      </c>
      <c r="Q23" s="215"/>
      <c r="R23" s="215"/>
      <c r="S23" s="215"/>
      <c r="T23" s="222">
        <f>IF(ISERROR(-T37/T5),0,-T37/T5)</f>
        <v>0</v>
      </c>
    </row>
    <row r="24" spans="1:20">
      <c r="A24" s="451" t="s">
        <v>134</v>
      </c>
      <c r="B24" s="453"/>
      <c r="C24" s="453"/>
      <c r="D24" s="453"/>
      <c r="E24" s="454"/>
      <c r="F24" s="112"/>
      <c r="G24" s="227" t="s">
        <v>135</v>
      </c>
      <c r="H24" s="117"/>
      <c r="I24" s="117"/>
      <c r="J24" s="117"/>
      <c r="K24" s="117"/>
      <c r="L24" s="117"/>
      <c r="M24" s="117"/>
      <c r="N24" s="228"/>
      <c r="O24" s="112"/>
      <c r="P24" s="229" t="s">
        <v>136</v>
      </c>
      <c r="Q24" s="230"/>
      <c r="R24" s="230"/>
      <c r="S24" s="230"/>
      <c r="T24" s="231">
        <f>IF(ISERROR(T22+T23),0,T22+T23)</f>
        <v>0</v>
      </c>
    </row>
    <row r="25" spans="1:20">
      <c r="A25" s="453"/>
      <c r="B25" s="453"/>
      <c r="C25" s="453"/>
      <c r="D25" s="453"/>
      <c r="E25" s="454"/>
      <c r="F25" s="232"/>
      <c r="G25" s="137"/>
      <c r="H25" s="112"/>
      <c r="I25" s="125"/>
      <c r="J25" s="125"/>
      <c r="K25" s="112"/>
      <c r="L25" s="126" t="s">
        <v>83</v>
      </c>
      <c r="M25" s="126" t="s">
        <v>84</v>
      </c>
      <c r="N25" s="127"/>
      <c r="O25" s="112"/>
      <c r="P25" s="168" t="s">
        <v>137</v>
      </c>
      <c r="Q25" s="215"/>
      <c r="R25" s="215"/>
      <c r="S25" s="215"/>
      <c r="T25" s="233">
        <f>+T44</f>
        <v>0</v>
      </c>
    </row>
    <row r="26" spans="1:20">
      <c r="A26" s="453"/>
      <c r="B26" s="453"/>
      <c r="C26" s="453"/>
      <c r="D26" s="453"/>
      <c r="E26" s="454"/>
      <c r="F26" s="112"/>
      <c r="G26" s="137"/>
      <c r="H26" s="112"/>
      <c r="I26" s="234"/>
      <c r="J26" s="132" t="str">
        <f>"FYE "&amp;TEXT($E$8,"mmmm d")&amp;","</f>
        <v>FYE April 3,</v>
      </c>
      <c r="K26" s="132"/>
      <c r="L26" s="126" t="s">
        <v>87</v>
      </c>
      <c r="M26" s="126" t="s">
        <v>87</v>
      </c>
      <c r="N26" s="133" t="s">
        <v>17</v>
      </c>
      <c r="O26" s="112"/>
      <c r="P26" s="168" t="s">
        <v>138</v>
      </c>
      <c r="Q26" s="215"/>
      <c r="R26" s="215"/>
      <c r="S26" s="215"/>
      <c r="T26" s="190">
        <v>0</v>
      </c>
    </row>
    <row r="27" spans="1:20" ht="21" customHeight="1">
      <c r="A27" s="453"/>
      <c r="B27" s="453"/>
      <c r="C27" s="453"/>
      <c r="D27" s="453"/>
      <c r="E27" s="454"/>
      <c r="F27" s="112"/>
      <c r="G27" s="235"/>
      <c r="H27" s="113"/>
      <c r="I27" s="139"/>
      <c r="J27" s="140">
        <f>+J7</f>
        <v>43924</v>
      </c>
      <c r="K27" s="140">
        <f>+K7</f>
        <v>44289</v>
      </c>
      <c r="L27" s="141">
        <f>+L7</f>
        <v>44198</v>
      </c>
      <c r="M27" s="142">
        <f>+M7</f>
        <v>44562</v>
      </c>
      <c r="N27" s="143">
        <f>+N7</f>
        <v>44562</v>
      </c>
      <c r="O27" s="236"/>
      <c r="P27" s="229" t="s">
        <v>139</v>
      </c>
      <c r="Q27" s="215"/>
      <c r="R27" s="215"/>
      <c r="S27" s="215"/>
      <c r="T27" s="237">
        <f>T21+SUM(T24:T26)</f>
        <v>245</v>
      </c>
    </row>
    <row r="28" spans="1:20">
      <c r="A28" s="238"/>
      <c r="E28" s="239"/>
      <c r="F28" s="236"/>
      <c r="G28" s="137" t="s">
        <v>140</v>
      </c>
      <c r="H28" s="112"/>
      <c r="I28" s="240"/>
      <c r="J28" s="240">
        <f>J10</f>
        <v>2115</v>
      </c>
      <c r="K28" s="240">
        <f>K10</f>
        <v>2153</v>
      </c>
      <c r="L28" s="241">
        <f>L10</f>
        <v>1583</v>
      </c>
      <c r="M28" s="242">
        <f>M10</f>
        <v>1943</v>
      </c>
      <c r="N28" s="243">
        <f>N10</f>
        <v>2513</v>
      </c>
      <c r="O28" s="112"/>
      <c r="P28" s="122"/>
      <c r="Q28" s="112"/>
      <c r="R28" s="112"/>
      <c r="S28" s="112"/>
      <c r="T28" s="185"/>
    </row>
    <row r="29" spans="1:20">
      <c r="A29" s="244" t="s">
        <v>141</v>
      </c>
      <c r="E29" s="239"/>
      <c r="F29" s="236"/>
      <c r="G29" s="137" t="s">
        <v>142</v>
      </c>
      <c r="H29" s="112"/>
      <c r="I29" s="186"/>
      <c r="J29" s="191">
        <v>0</v>
      </c>
      <c r="K29" s="191">
        <v>0</v>
      </c>
      <c r="L29" s="192">
        <v>0</v>
      </c>
      <c r="M29" s="193">
        <v>0</v>
      </c>
      <c r="N29" s="245">
        <f>K29+M29-L29</f>
        <v>0</v>
      </c>
      <c r="O29" s="246"/>
      <c r="P29" s="247" t="s">
        <v>143</v>
      </c>
      <c r="Q29" s="248"/>
      <c r="R29" s="248"/>
      <c r="S29" s="248"/>
      <c r="T29" s="249"/>
    </row>
    <row r="30" spans="1:20">
      <c r="A30" s="455" t="s">
        <v>144</v>
      </c>
      <c r="B30" s="445"/>
      <c r="C30" s="445"/>
      <c r="D30" s="445"/>
      <c r="E30" s="452"/>
      <c r="F30" s="112"/>
      <c r="G30" s="164" t="s">
        <v>145</v>
      </c>
      <c r="H30" s="112"/>
      <c r="I30" s="165"/>
      <c r="J30" s="165">
        <f>SUM(J28:J29)</f>
        <v>2115</v>
      </c>
      <c r="K30" s="165">
        <f>SUM(K28:K29)</f>
        <v>2153</v>
      </c>
      <c r="L30" s="166">
        <f>SUM(L28:L29)</f>
        <v>1583</v>
      </c>
      <c r="M30" s="167">
        <f>SUM(M28:M29)</f>
        <v>1943</v>
      </c>
      <c r="N30" s="153">
        <f>SUM(N28:N29)</f>
        <v>2513</v>
      </c>
      <c r="O30" s="112"/>
      <c r="P30" s="250"/>
      <c r="Q30" s="126" t="s">
        <v>146</v>
      </c>
      <c r="R30" s="126" t="s">
        <v>147</v>
      </c>
      <c r="S30" s="126" t="s">
        <v>148</v>
      </c>
      <c r="T30" s="251"/>
    </row>
    <row r="31" spans="1:20">
      <c r="A31" s="445"/>
      <c r="B31" s="445"/>
      <c r="C31" s="445"/>
      <c r="D31" s="445"/>
      <c r="E31" s="452"/>
      <c r="F31" s="112"/>
      <c r="G31" s="252" t="s">
        <v>149</v>
      </c>
      <c r="H31" s="134"/>
      <c r="I31" s="253"/>
      <c r="J31" s="253">
        <f>IF(ISERROR(J30/J8),"NA",J30/J8)</f>
        <v>0.66866898514068918</v>
      </c>
      <c r="K31" s="253">
        <f>IF(ISERROR(K30/K8),"NA",K30/K8)</f>
        <v>0.68392630241423125</v>
      </c>
      <c r="L31" s="254">
        <f>IF(ISERROR(L30/L8),"NA",L30/L8)</f>
        <v>0.68915977361776226</v>
      </c>
      <c r="M31" s="255">
        <f>IF(ISERROR(M30/M8),"NA",M30/M8)</f>
        <v>0.68778761061946903</v>
      </c>
      <c r="N31" s="256">
        <f>IF(ISERROR(N30/N8),"NA",N30/N8)</f>
        <v>0.68362350380848746</v>
      </c>
      <c r="O31" s="112"/>
      <c r="P31" s="257" t="s">
        <v>150</v>
      </c>
      <c r="Q31" s="258" t="s">
        <v>151</v>
      </c>
      <c r="R31" s="258" t="s">
        <v>152</v>
      </c>
      <c r="S31" s="258" t="s">
        <v>151</v>
      </c>
      <c r="T31" s="259" t="s">
        <v>153</v>
      </c>
    </row>
    <row r="32" spans="1:20">
      <c r="A32" s="445"/>
      <c r="B32" s="445"/>
      <c r="C32" s="445"/>
      <c r="D32" s="445"/>
      <c r="E32" s="452"/>
      <c r="F32" s="112"/>
      <c r="G32" s="137"/>
      <c r="H32" s="112"/>
      <c r="I32" s="260"/>
      <c r="J32" s="260"/>
      <c r="K32" s="260"/>
      <c r="L32" s="261"/>
      <c r="M32" s="262"/>
      <c r="N32" s="263"/>
      <c r="O32" s="112"/>
      <c r="P32" s="46" t="s">
        <v>154</v>
      </c>
      <c r="Q32" s="264">
        <v>0</v>
      </c>
      <c r="R32" s="265">
        <v>0</v>
      </c>
      <c r="S32" s="266">
        <f>+IF(R32&lt;$T$5,Q32,0)</f>
        <v>0</v>
      </c>
      <c r="T32" s="267">
        <f>IF(S32="NA","NA",S32*R32)</f>
        <v>0</v>
      </c>
    </row>
    <row r="33" spans="1:20">
      <c r="A33" s="453"/>
      <c r="B33" s="453"/>
      <c r="C33" s="453"/>
      <c r="D33" s="453"/>
      <c r="E33" s="454"/>
      <c r="F33" s="112"/>
      <c r="G33" s="137" t="s">
        <v>155</v>
      </c>
      <c r="H33" s="112"/>
      <c r="I33" s="240"/>
      <c r="J33" s="240">
        <f>J12</f>
        <v>792</v>
      </c>
      <c r="K33" s="240">
        <f>K12</f>
        <v>753</v>
      </c>
      <c r="L33" s="241">
        <f>L12</f>
        <v>554</v>
      </c>
      <c r="M33" s="242">
        <f>M12</f>
        <v>769.32200000000012</v>
      </c>
      <c r="N33" s="243">
        <f>N12</f>
        <v>968.32200000000012</v>
      </c>
      <c r="O33" s="112"/>
      <c r="P33" s="46" t="s">
        <v>156</v>
      </c>
      <c r="Q33" s="264">
        <v>0</v>
      </c>
      <c r="R33" s="268">
        <v>0</v>
      </c>
      <c r="S33" s="266">
        <f>+IF(R33&lt;$T$5,Q33,0)</f>
        <v>0</v>
      </c>
      <c r="T33" s="269">
        <f>IF(S33="NA","NA",S33*R33)</f>
        <v>0</v>
      </c>
    </row>
    <row r="34" spans="1:20">
      <c r="A34" s="453"/>
      <c r="B34" s="453"/>
      <c r="C34" s="453"/>
      <c r="D34" s="453"/>
      <c r="E34" s="454"/>
      <c r="F34" s="236"/>
      <c r="G34" s="137" t="s">
        <v>157</v>
      </c>
      <c r="H34" s="112"/>
      <c r="I34" s="186"/>
      <c r="J34" s="187">
        <v>0</v>
      </c>
      <c r="K34" s="187">
        <v>0</v>
      </c>
      <c r="L34" s="188">
        <v>0</v>
      </c>
      <c r="M34" s="189">
        <v>0</v>
      </c>
      <c r="N34" s="199">
        <f>K34+M34-L34</f>
        <v>0</v>
      </c>
      <c r="O34" s="112"/>
      <c r="P34" s="46" t="s">
        <v>158</v>
      </c>
      <c r="Q34" s="264">
        <v>0</v>
      </c>
      <c r="R34" s="268">
        <v>0</v>
      </c>
      <c r="S34" s="266">
        <f>+IF(R34&lt;$T$5,Q34,0)</f>
        <v>0</v>
      </c>
      <c r="T34" s="270">
        <f>IF(S34="NA","NA",S34*R34)</f>
        <v>0</v>
      </c>
    </row>
    <row r="35" spans="1:20">
      <c r="A35" s="453"/>
      <c r="B35" s="453"/>
      <c r="C35" s="453"/>
      <c r="D35" s="453"/>
      <c r="E35" s="454"/>
      <c r="F35" s="112"/>
      <c r="G35" s="137" t="s">
        <v>159</v>
      </c>
      <c r="H35" s="112"/>
      <c r="I35" s="186"/>
      <c r="J35" s="187">
        <v>0</v>
      </c>
      <c r="K35" s="187">
        <v>0</v>
      </c>
      <c r="L35" s="188">
        <v>0</v>
      </c>
      <c r="M35" s="189">
        <v>0</v>
      </c>
      <c r="N35" s="271">
        <f>K35+M35-L35</f>
        <v>0</v>
      </c>
      <c r="O35" s="246"/>
      <c r="P35" s="46" t="s">
        <v>160</v>
      </c>
      <c r="Q35" s="264">
        <v>0</v>
      </c>
      <c r="R35" s="268">
        <v>0</v>
      </c>
      <c r="S35" s="266">
        <f>+IF(R35&lt;$T$5,Q35,0)</f>
        <v>0</v>
      </c>
      <c r="T35" s="270">
        <f>IF(S35="NA","NA",S35*R35)</f>
        <v>0</v>
      </c>
    </row>
    <row r="36" spans="1:20">
      <c r="A36" s="238"/>
      <c r="B36" s="272"/>
      <c r="C36" s="272"/>
      <c r="D36" s="273"/>
      <c r="E36" s="274"/>
      <c r="F36" s="236"/>
      <c r="G36" s="137" t="s">
        <v>161</v>
      </c>
      <c r="H36" s="112"/>
      <c r="I36" s="186"/>
      <c r="J36" s="266">
        <f>+J71</f>
        <v>187</v>
      </c>
      <c r="K36" s="275">
        <f>+K71</f>
        <v>246</v>
      </c>
      <c r="L36" s="266">
        <f>+L71</f>
        <v>175</v>
      </c>
      <c r="M36" s="275">
        <f>+M71</f>
        <v>211</v>
      </c>
      <c r="N36" s="276">
        <f>+N71</f>
        <v>282</v>
      </c>
      <c r="O36" s="246"/>
      <c r="P36" s="46" t="s">
        <v>162</v>
      </c>
      <c r="Q36" s="277">
        <v>0</v>
      </c>
      <c r="R36" s="278">
        <v>0</v>
      </c>
      <c r="S36" s="279">
        <f>+IF(R36&lt;$T$5,Q36,0)</f>
        <v>0</v>
      </c>
      <c r="T36" s="280">
        <f>IF(S36="NA","NA",S36*R36)</f>
        <v>0</v>
      </c>
    </row>
    <row r="37" spans="1:20">
      <c r="A37" s="116" t="s">
        <v>163</v>
      </c>
      <c r="B37" s="117"/>
      <c r="C37" s="117"/>
      <c r="D37" s="117"/>
      <c r="E37" s="118"/>
      <c r="F37" s="112"/>
      <c r="G37" s="137" t="s">
        <v>164</v>
      </c>
      <c r="H37" s="112"/>
      <c r="I37" s="186"/>
      <c r="J37" s="187">
        <v>0</v>
      </c>
      <c r="K37" s="187">
        <v>0</v>
      </c>
      <c r="L37" s="188">
        <v>0</v>
      </c>
      <c r="M37" s="189">
        <v>0</v>
      </c>
      <c r="N37" s="276">
        <f>K37+M37-L37</f>
        <v>0</v>
      </c>
      <c r="O37" s="125"/>
      <c r="P37" s="162" t="s">
        <v>165</v>
      </c>
      <c r="Q37" s="281">
        <f>SUM(Q32:Q36)</f>
        <v>0</v>
      </c>
      <c r="R37" s="282"/>
      <c r="S37" s="281">
        <f>SUM(S32:S36)</f>
        <v>0</v>
      </c>
      <c r="T37" s="176">
        <f>SUM(T32:T36)</f>
        <v>0</v>
      </c>
    </row>
    <row r="38" spans="1:20">
      <c r="A38" s="283" t="s">
        <v>166</v>
      </c>
      <c r="B38" s="178"/>
      <c r="C38" s="112"/>
      <c r="D38" s="112"/>
      <c r="E38" s="284">
        <f>EOMONTH(E8,12)</f>
        <v>44681</v>
      </c>
      <c r="F38" s="285"/>
      <c r="G38" s="137" t="s">
        <v>167</v>
      </c>
      <c r="H38" s="112"/>
      <c r="I38" s="186"/>
      <c r="J38" s="191">
        <v>0</v>
      </c>
      <c r="K38" s="191">
        <v>0</v>
      </c>
      <c r="L38" s="192">
        <v>0</v>
      </c>
      <c r="M38" s="193">
        <v>0</v>
      </c>
      <c r="N38" s="245">
        <f>K38+M38-L38</f>
        <v>0</v>
      </c>
      <c r="O38" s="112"/>
      <c r="P38" s="247" t="s">
        <v>168</v>
      </c>
      <c r="Q38" s="248"/>
      <c r="R38" s="248"/>
      <c r="S38" s="248"/>
      <c r="T38" s="249"/>
    </row>
    <row r="39" spans="1:20">
      <c r="A39" s="283" t="s">
        <v>169</v>
      </c>
      <c r="B39" s="112"/>
      <c r="C39" s="260" t="s">
        <v>170</v>
      </c>
      <c r="D39" s="286"/>
      <c r="E39" s="190">
        <v>3556</v>
      </c>
      <c r="F39" s="112"/>
      <c r="G39" s="164" t="s">
        <v>171</v>
      </c>
      <c r="H39" s="112"/>
      <c r="I39" s="165"/>
      <c r="J39" s="165">
        <f>+J33+SUM(J34:J38)+J29</f>
        <v>979</v>
      </c>
      <c r="K39" s="165">
        <f>+K33+SUM(K34:K38)+K29</f>
        <v>999</v>
      </c>
      <c r="L39" s="166">
        <f>+L33+SUM(L34:L38)+L29</f>
        <v>729</v>
      </c>
      <c r="M39" s="167">
        <f>+M33+SUM(M34:M38)+M29</f>
        <v>980.32200000000012</v>
      </c>
      <c r="N39" s="153">
        <f>+N33+SUM(N34:N38)+N29</f>
        <v>1250.3220000000001</v>
      </c>
      <c r="O39" s="112"/>
      <c r="P39" s="287"/>
      <c r="Q39" s="126"/>
      <c r="R39" s="288" t="s">
        <v>172</v>
      </c>
      <c r="S39" s="288" t="s">
        <v>173</v>
      </c>
      <c r="T39" s="289" t="s">
        <v>174</v>
      </c>
    </row>
    <row r="40" spans="1:20">
      <c r="A40" s="283" t="s">
        <v>175</v>
      </c>
      <c r="B40" s="112"/>
      <c r="C40" s="112"/>
      <c r="D40" s="290"/>
      <c r="E40" s="190">
        <v>1125</v>
      </c>
      <c r="F40" s="112"/>
      <c r="G40" s="252" t="s">
        <v>149</v>
      </c>
      <c r="H40" s="134"/>
      <c r="I40" s="253"/>
      <c r="J40" s="253">
        <f>IF(ISERROR(J39/J8),"NA",J39/J8)</f>
        <v>0.30951628201074927</v>
      </c>
      <c r="K40" s="253">
        <f>IF(ISERROR(K39/K8),"NA",K39/K8)</f>
        <v>0.31734434561626429</v>
      </c>
      <c r="L40" s="254">
        <f>IF(ISERROR(L39/L8),"NA",L39/L8)</f>
        <v>0.31737048323900741</v>
      </c>
      <c r="M40" s="255">
        <f>IF(ISERROR(M39/M8),"NA",M39/M8)</f>
        <v>0.34701663716814163</v>
      </c>
      <c r="N40" s="256">
        <f>IF(ISERROR(N39/N8),"NA",N39/N8)</f>
        <v>0.34013112078346031</v>
      </c>
      <c r="O40" s="125"/>
      <c r="P40" s="287"/>
      <c r="Q40" s="258" t="s">
        <v>176</v>
      </c>
      <c r="R40" s="291" t="s">
        <v>152</v>
      </c>
      <c r="S40" s="291" t="s">
        <v>177</v>
      </c>
      <c r="T40" s="292" t="s">
        <v>151</v>
      </c>
    </row>
    <row r="41" spans="1:20">
      <c r="A41" s="283" t="s">
        <v>178</v>
      </c>
      <c r="B41" s="112"/>
      <c r="C41" s="112"/>
      <c r="D41" s="293" t="s">
        <v>179</v>
      </c>
      <c r="E41" s="190">
        <f>E40-$K$70</f>
        <v>938.3</v>
      </c>
      <c r="F41" s="112"/>
      <c r="G41" s="137"/>
      <c r="H41" s="112"/>
      <c r="I41" s="112"/>
      <c r="J41" s="112"/>
      <c r="K41" s="294"/>
      <c r="L41" s="112"/>
      <c r="M41" s="294"/>
      <c r="N41" s="127"/>
      <c r="O41" s="125"/>
      <c r="P41" s="287" t="s">
        <v>180</v>
      </c>
      <c r="Q41" s="264">
        <v>0</v>
      </c>
      <c r="R41" s="265">
        <v>0</v>
      </c>
      <c r="S41" s="295">
        <f>IF(ISERROR(1000/R41),0,(1000/R41))</f>
        <v>0</v>
      </c>
      <c r="T41" s="270">
        <f>+IF(R41&lt;$T$5,IF(ISERROR(Q41/R41),0,Q41/R41),0)</f>
        <v>0</v>
      </c>
    </row>
    <row r="42" spans="1:20">
      <c r="A42" s="283" t="s">
        <v>181</v>
      </c>
      <c r="B42" s="112"/>
      <c r="C42" s="112"/>
      <c r="D42" s="290"/>
      <c r="E42" s="296">
        <v>3.65</v>
      </c>
      <c r="F42" s="112"/>
      <c r="G42" s="137" t="s">
        <v>182</v>
      </c>
      <c r="H42" s="112"/>
      <c r="I42" s="297"/>
      <c r="J42" s="297">
        <f>+J70</f>
        <v>157.69999999999999</v>
      </c>
      <c r="K42" s="297">
        <f>+K70</f>
        <v>186.7</v>
      </c>
      <c r="L42" s="298">
        <f>+L70</f>
        <v>141</v>
      </c>
      <c r="M42" s="299">
        <f>+M70</f>
        <v>148</v>
      </c>
      <c r="N42" s="300">
        <f>+N70</f>
        <v>193.7</v>
      </c>
      <c r="O42" s="246"/>
      <c r="P42" s="287" t="s">
        <v>183</v>
      </c>
      <c r="Q42" s="264">
        <v>0</v>
      </c>
      <c r="R42" s="268">
        <v>0</v>
      </c>
      <c r="S42" s="295">
        <f>IF(ISERROR(1000/R42),0,(1000/R42))</f>
        <v>0</v>
      </c>
      <c r="T42" s="270">
        <f>+IF(R42&lt;$T$5,IF(ISERROR(Q42/R42),0,Q42/R42),0)</f>
        <v>0</v>
      </c>
    </row>
    <row r="43" spans="1:20">
      <c r="A43" s="122"/>
      <c r="B43" s="112"/>
      <c r="C43" s="112"/>
      <c r="D43" s="112"/>
      <c r="E43" s="185"/>
      <c r="F43" s="112"/>
      <c r="G43" s="137" t="s">
        <v>184</v>
      </c>
      <c r="H43" s="112"/>
      <c r="I43" s="186"/>
      <c r="J43" s="191">
        <v>0</v>
      </c>
      <c r="K43" s="191">
        <v>0</v>
      </c>
      <c r="L43" s="192">
        <v>0</v>
      </c>
      <c r="M43" s="193">
        <v>0</v>
      </c>
      <c r="N43" s="301">
        <f>K43+M43-L43</f>
        <v>0</v>
      </c>
      <c r="O43" s="112"/>
      <c r="P43" s="287" t="s">
        <v>185</v>
      </c>
      <c r="Q43" s="264">
        <v>0</v>
      </c>
      <c r="R43" s="268">
        <v>0</v>
      </c>
      <c r="S43" s="295">
        <f>IF(ISERROR(1000/R43),0,(1000/R43))</f>
        <v>0</v>
      </c>
      <c r="T43" s="270">
        <f>+IF(R43&lt;$T$5,IF(ISERROR(Q43/R43),0,Q43/R43),0)</f>
        <v>0</v>
      </c>
    </row>
    <row r="44" spans="1:20">
      <c r="A44" s="283" t="s">
        <v>166</v>
      </c>
      <c r="B44" s="112"/>
      <c r="C44" s="112"/>
      <c r="D44" s="112"/>
      <c r="E44" s="284">
        <f>EOMONTH(E38,12)</f>
        <v>45046</v>
      </c>
      <c r="F44" s="112"/>
      <c r="G44" s="164" t="s">
        <v>186</v>
      </c>
      <c r="H44" s="112"/>
      <c r="I44" s="165"/>
      <c r="J44" s="165">
        <f>+J39+SUM(J42:J43)</f>
        <v>1136.7</v>
      </c>
      <c r="K44" s="165">
        <f>+K39+SUM(K42:K43)</f>
        <v>1185.7</v>
      </c>
      <c r="L44" s="166">
        <f>+L39+SUM(L42:L43)</f>
        <v>870</v>
      </c>
      <c r="M44" s="167">
        <f>+M39+SUM(M42:M43)</f>
        <v>1128.3220000000001</v>
      </c>
      <c r="N44" s="153">
        <f>+N39+SUM(N42:N43)</f>
        <v>1444.0220000000002</v>
      </c>
      <c r="O44" s="112"/>
      <c r="P44" s="302" t="s">
        <v>165</v>
      </c>
      <c r="Q44" s="303"/>
      <c r="R44" s="304"/>
      <c r="S44" s="303"/>
      <c r="T44" s="305">
        <f>SUM(T41:T43)</f>
        <v>0</v>
      </c>
    </row>
    <row r="45" spans="1:20">
      <c r="A45" s="283" t="s">
        <v>187</v>
      </c>
      <c r="B45" s="112"/>
      <c r="C45" s="260" t="s">
        <v>170</v>
      </c>
      <c r="D45" s="286"/>
      <c r="E45" s="190">
        <v>4060</v>
      </c>
      <c r="F45" s="112"/>
      <c r="G45" s="252" t="s">
        <v>149</v>
      </c>
      <c r="H45" s="134"/>
      <c r="I45" s="253"/>
      <c r="J45" s="253">
        <f>IF(ISERROR(J44/J8),"NA",J44/J8)</f>
        <v>0.35937401201391084</v>
      </c>
      <c r="K45" s="253">
        <f>IF(ISERROR(K44/K8),"NA",K44/K8)</f>
        <v>0.37665184243964422</v>
      </c>
      <c r="L45" s="254">
        <f>IF(ISERROR(L44/L8),"NA",L44/L8)</f>
        <v>0.37875489769264259</v>
      </c>
      <c r="M45" s="255">
        <f>IF(ISERROR(M44/M8),"NA",M44/M8)</f>
        <v>0.3994060176991151</v>
      </c>
      <c r="N45" s="256">
        <f>IF(ISERROR(N44/N8),"NA",N44/N8)</f>
        <v>0.39282426550598482</v>
      </c>
      <c r="O45" s="112"/>
      <c r="P45" s="306"/>
      <c r="Q45" s="307"/>
      <c r="R45" s="308"/>
      <c r="S45" s="295"/>
      <c r="T45" s="295"/>
    </row>
    <row r="46" spans="1:20">
      <c r="A46" s="283" t="s">
        <v>188</v>
      </c>
      <c r="B46" s="112"/>
      <c r="C46" s="112"/>
      <c r="D46" s="290"/>
      <c r="E46" s="190">
        <v>1311</v>
      </c>
      <c r="F46" s="112"/>
      <c r="G46" s="137"/>
      <c r="H46" s="112"/>
      <c r="I46" s="112"/>
      <c r="J46" s="112"/>
      <c r="K46" s="294"/>
      <c r="L46" s="112"/>
      <c r="M46" s="294"/>
      <c r="N46" s="127"/>
      <c r="O46" s="112"/>
      <c r="P46" s="116" t="s">
        <v>189</v>
      </c>
      <c r="Q46" s="117"/>
      <c r="R46" s="117"/>
      <c r="S46" s="117"/>
      <c r="T46" s="118"/>
    </row>
    <row r="47" spans="1:20">
      <c r="A47" s="283" t="s">
        <v>190</v>
      </c>
      <c r="B47" s="112"/>
      <c r="C47" s="112"/>
      <c r="D47" s="293" t="s">
        <v>179</v>
      </c>
      <c r="E47" s="190">
        <f>E46-$K$70</f>
        <v>1124.3</v>
      </c>
      <c r="F47" s="112"/>
      <c r="G47" s="137" t="s">
        <v>191</v>
      </c>
      <c r="H47" s="112"/>
      <c r="I47" s="240"/>
      <c r="J47" s="240">
        <f>J19</f>
        <v>793</v>
      </c>
      <c r="K47" s="240">
        <f>K19</f>
        <v>647</v>
      </c>
      <c r="L47" s="241">
        <f>L19</f>
        <v>459</v>
      </c>
      <c r="M47" s="242">
        <f>M19</f>
        <v>740.32200000000012</v>
      </c>
      <c r="N47" s="243">
        <f>N19</f>
        <v>928.32200000000012</v>
      </c>
      <c r="O47" s="112"/>
      <c r="P47" s="122"/>
      <c r="Q47" s="112"/>
      <c r="R47" s="126" t="str">
        <f>N6</f>
        <v>LTM</v>
      </c>
      <c r="S47" s="126" t="s">
        <v>192</v>
      </c>
      <c r="T47" s="251" t="s">
        <v>193</v>
      </c>
    </row>
    <row r="48" spans="1:20">
      <c r="A48" s="283" t="s">
        <v>194</v>
      </c>
      <c r="B48" s="112"/>
      <c r="C48" s="112"/>
      <c r="D48" s="290"/>
      <c r="E48" s="296">
        <v>4.38</v>
      </c>
      <c r="F48" s="112"/>
      <c r="G48" s="137" t="s">
        <v>142</v>
      </c>
      <c r="H48" s="112"/>
      <c r="I48" s="309"/>
      <c r="J48" s="309">
        <f>J29</f>
        <v>0</v>
      </c>
      <c r="K48" s="309">
        <f>K29</f>
        <v>0</v>
      </c>
      <c r="L48" s="310">
        <f>L29</f>
        <v>0</v>
      </c>
      <c r="M48" s="311">
        <f>M29</f>
        <v>0</v>
      </c>
      <c r="N48" s="271">
        <f>N29</f>
        <v>0</v>
      </c>
      <c r="O48" s="112"/>
      <c r="P48" s="122"/>
      <c r="Q48" s="112"/>
      <c r="R48" s="258">
        <f>N7</f>
        <v>44562</v>
      </c>
      <c r="S48" s="258">
        <f>+E38</f>
        <v>44681</v>
      </c>
      <c r="T48" s="259">
        <f>S48+365</f>
        <v>45046</v>
      </c>
    </row>
    <row r="49" spans="1:20">
      <c r="A49" s="122"/>
      <c r="B49" s="112"/>
      <c r="C49" s="112"/>
      <c r="D49" s="112"/>
      <c r="E49" s="185"/>
      <c r="F49" s="112"/>
      <c r="G49" s="137" t="s">
        <v>195</v>
      </c>
      <c r="H49" s="112"/>
      <c r="I49" s="266"/>
      <c r="J49" s="266">
        <f>+SUM(J34:J38)</f>
        <v>187</v>
      </c>
      <c r="K49" s="275">
        <f>+SUM(K34:K38)</f>
        <v>246</v>
      </c>
      <c r="L49" s="266">
        <f>+SUM(L34:L38)</f>
        <v>175</v>
      </c>
      <c r="M49" s="275">
        <f>+SUM(M34:M38)</f>
        <v>211</v>
      </c>
      <c r="N49" s="276">
        <f>+SUM(N34:N38)</f>
        <v>282</v>
      </c>
      <c r="O49" s="112"/>
      <c r="P49" s="122" t="s">
        <v>53</v>
      </c>
      <c r="Q49" s="112"/>
      <c r="R49" s="312">
        <f>IF(ISERROR(T17/N8),"NM",T17/N8)</f>
        <v>8.4046832834602814</v>
      </c>
      <c r="S49" s="312">
        <f>IF(ISERROR($T$17/E39),"NM",$T$17/E39)</f>
        <v>8.6883058914510674</v>
      </c>
      <c r="T49" s="313">
        <f>IF(ISERROR($T$17/E45),"NM",$T$17/E45)</f>
        <v>7.609757573891625</v>
      </c>
    </row>
    <row r="50" spans="1:20">
      <c r="A50" s="283" t="s">
        <v>166</v>
      </c>
      <c r="B50" s="112"/>
      <c r="C50" s="112"/>
      <c r="D50" s="112"/>
      <c r="E50" s="284">
        <f>EOMONTH(E44,12)</f>
        <v>45412</v>
      </c>
      <c r="F50" s="112"/>
      <c r="G50" s="137" t="s">
        <v>184</v>
      </c>
      <c r="H50" s="112"/>
      <c r="I50" s="266"/>
      <c r="J50" s="314">
        <v>0</v>
      </c>
      <c r="K50" s="314">
        <v>0</v>
      </c>
      <c r="L50" s="315">
        <v>0</v>
      </c>
      <c r="M50" s="316">
        <v>0</v>
      </c>
      <c r="N50" s="276">
        <f>K50+M50-L50</f>
        <v>0</v>
      </c>
      <c r="O50" s="112"/>
      <c r="P50" s="122" t="s">
        <v>54</v>
      </c>
      <c r="Q50" s="112"/>
      <c r="R50" s="312">
        <f>IF(OR((ISERROR($T$17/N44)),N44&lt;0),"NM",$T$17/N44)</f>
        <v>21.395529811872667</v>
      </c>
      <c r="S50" s="312">
        <f>IF(OR((ISERROR($T$17/E40)),E40&lt;0),"NM",$T$17/E40)</f>
        <v>27.462769555555553</v>
      </c>
      <c r="T50" s="313">
        <f>IF(OR((ISERROR($T$17/E46)),E46&lt;0),"NM",$T$17/E46)</f>
        <v>23.566449847444698</v>
      </c>
    </row>
    <row r="51" spans="1:20">
      <c r="A51" s="283" t="s">
        <v>196</v>
      </c>
      <c r="B51" s="112"/>
      <c r="C51" s="260" t="s">
        <v>170</v>
      </c>
      <c r="D51" s="286"/>
      <c r="E51" s="190">
        <v>4613</v>
      </c>
      <c r="F51" s="112"/>
      <c r="G51" s="137" t="s">
        <v>197</v>
      </c>
      <c r="H51" s="112"/>
      <c r="I51" s="266"/>
      <c r="J51" s="266">
        <f>-(SUM(J48:J50)*($E$11))</f>
        <v>-39.269999999999996</v>
      </c>
      <c r="K51" s="275">
        <f>-(SUM(K48:K50)*($E$11))</f>
        <v>-51.66</v>
      </c>
      <c r="L51" s="266">
        <f>-(SUM(L48:L50)*($E$11))</f>
        <v>-36.75</v>
      </c>
      <c r="M51" s="275">
        <f>-(SUM(M48:M50)*($E$11))</f>
        <v>-44.309999999999995</v>
      </c>
      <c r="N51" s="276">
        <f>-(SUM(N48:N50)*($E$11))</f>
        <v>-59.22</v>
      </c>
      <c r="O51" s="112"/>
      <c r="P51" s="122" t="s">
        <v>198</v>
      </c>
      <c r="Q51" s="112"/>
      <c r="R51" s="312">
        <f>IF(OR((ISERROR($T$17/N39)),N39&lt;0),"NM",$T$17/N39)</f>
        <v>24.71012727121493</v>
      </c>
      <c r="S51" s="312">
        <f>IF(OR((ISERROR($T$17/E41)),E41&lt;0),"NM",$T$17/E41)</f>
        <v>32.92722556751572</v>
      </c>
      <c r="T51" s="313">
        <f>IF(OR((ISERROR($T$17/E47)),E47&lt;0),"NM",$T$17/E47)</f>
        <v>27.479868140176109</v>
      </c>
    </row>
    <row r="52" spans="1:20" ht="15.75" thickBot="1">
      <c r="A52" s="283" t="s">
        <v>199</v>
      </c>
      <c r="B52" s="112"/>
      <c r="C52" s="112"/>
      <c r="D52" s="290"/>
      <c r="E52" s="190">
        <v>1527</v>
      </c>
      <c r="F52" s="112"/>
      <c r="G52" s="164" t="s">
        <v>200</v>
      </c>
      <c r="H52" s="112"/>
      <c r="I52" s="165"/>
      <c r="J52" s="204">
        <f>SUM(J47:J51)</f>
        <v>940.73</v>
      </c>
      <c r="K52" s="204">
        <f>SUM(K47:K51)</f>
        <v>841.34</v>
      </c>
      <c r="L52" s="205">
        <f>SUM(L47:L51)</f>
        <v>597.25</v>
      </c>
      <c r="M52" s="206">
        <f>SUM(M47:M51)</f>
        <v>907.01200000000017</v>
      </c>
      <c r="N52" s="207">
        <f>SUM(N47:N51)</f>
        <v>1151.1020000000001</v>
      </c>
      <c r="O52" s="112"/>
      <c r="P52" s="201" t="s">
        <v>56</v>
      </c>
      <c r="Q52" s="202"/>
      <c r="R52" s="317">
        <f>IF(OR((ISERROR($T$9/N57)),N57&lt;0),"NM",$T$9/N57)</f>
        <v>29.101319865659168</v>
      </c>
      <c r="S52" s="317">
        <f>IF(OR((ISERROR($T$9/E42)),E42&lt;0),"NM",$T$9/E42)</f>
        <v>36.710780821917808</v>
      </c>
      <c r="T52" s="318">
        <f>IF(OR((ISERROR($T$9/E48)),E48&lt;0),"NM",$T$9/E48)</f>
        <v>30.592317351598172</v>
      </c>
    </row>
    <row r="53" spans="1:20" ht="15.75" thickTop="1">
      <c r="A53" s="283" t="s">
        <v>201</v>
      </c>
      <c r="B53" s="112"/>
      <c r="C53" s="112"/>
      <c r="D53" s="293" t="s">
        <v>179</v>
      </c>
      <c r="E53" s="190">
        <f>E52-$K$70</f>
        <v>1340.3</v>
      </c>
      <c r="F53" s="112"/>
      <c r="G53" s="252" t="s">
        <v>149</v>
      </c>
      <c r="H53" s="134"/>
      <c r="I53" s="253"/>
      <c r="J53" s="253">
        <f>IF(ISERROR(J52/J8),"NA",J52/J8)</f>
        <v>0.29741700916851094</v>
      </c>
      <c r="K53" s="253">
        <f>IF(ISERROR(K52/K8),"NA",K52/K8)</f>
        <v>0.26726175349428211</v>
      </c>
      <c r="L53" s="254">
        <f>IF(ISERROR(L52/L8),"NA",L52/L8)</f>
        <v>0.26001306051371353</v>
      </c>
      <c r="M53" s="255">
        <f>IF(ISERROR(M52/M8),"NA",M52/M8)</f>
        <v>0.32106619469026554</v>
      </c>
      <c r="N53" s="256">
        <f>IF(ISERROR(N52/N8),"NA",N52/N8)</f>
        <v>0.31313982589771494</v>
      </c>
      <c r="O53" s="112"/>
      <c r="P53" s="112"/>
      <c r="Q53" s="112"/>
      <c r="R53" s="112"/>
      <c r="S53" s="112"/>
      <c r="T53" s="112"/>
    </row>
    <row r="54" spans="1:20">
      <c r="A54" s="319" t="s">
        <v>202</v>
      </c>
      <c r="B54" s="202"/>
      <c r="C54" s="202"/>
      <c r="D54" s="320"/>
      <c r="E54" s="321">
        <v>5.25</v>
      </c>
      <c r="F54" s="112"/>
      <c r="G54" s="137"/>
      <c r="H54" s="112"/>
      <c r="I54" s="260"/>
      <c r="J54" s="260"/>
      <c r="K54" s="260"/>
      <c r="L54" s="261"/>
      <c r="M54" s="262"/>
      <c r="N54" s="263"/>
      <c r="O54" s="112"/>
      <c r="P54" s="116" t="s">
        <v>6</v>
      </c>
      <c r="Q54" s="117"/>
      <c r="R54" s="117"/>
      <c r="S54" s="117"/>
      <c r="T54" s="118"/>
    </row>
    <row r="55" spans="1:20">
      <c r="A55" s="122"/>
      <c r="B55" s="112"/>
      <c r="C55" s="112"/>
      <c r="D55" s="112"/>
      <c r="E55" s="185"/>
      <c r="F55" s="112"/>
      <c r="G55" s="137" t="s">
        <v>203</v>
      </c>
      <c r="H55" s="112"/>
      <c r="I55" s="186"/>
      <c r="J55" s="187">
        <v>0</v>
      </c>
      <c r="K55" s="187">
        <v>0</v>
      </c>
      <c r="L55" s="188">
        <v>0</v>
      </c>
      <c r="M55" s="189">
        <v>0</v>
      </c>
      <c r="N55" s="174">
        <f>+IF(ISERROR(K55+M55-L55),"NA",K55+M55-L55)</f>
        <v>0</v>
      </c>
      <c r="O55" s="322"/>
      <c r="P55" s="323" t="s">
        <v>204</v>
      </c>
      <c r="Q55" s="324"/>
      <c r="R55" s="325"/>
      <c r="S55" s="112"/>
      <c r="T55" s="326" t="s">
        <v>205</v>
      </c>
    </row>
    <row r="56" spans="1:20">
      <c r="A56" s="116" t="s">
        <v>206</v>
      </c>
      <c r="B56" s="117"/>
      <c r="C56" s="117"/>
      <c r="D56" s="117"/>
      <c r="E56" s="118"/>
      <c r="F56" s="112"/>
      <c r="G56" s="137" t="s">
        <v>207</v>
      </c>
      <c r="H56" s="112"/>
      <c r="I56" s="186"/>
      <c r="J56" s="187">
        <v>0</v>
      </c>
      <c r="K56" s="187">
        <v>0</v>
      </c>
      <c r="L56" s="188">
        <v>0</v>
      </c>
      <c r="M56" s="189">
        <v>0</v>
      </c>
      <c r="N56" s="174">
        <f>+IF(ISERROR(K56+M56-L56),"NA",K56+M56-L56)</f>
        <v>0</v>
      </c>
      <c r="O56" s="322"/>
      <c r="P56" s="168" t="s">
        <v>208</v>
      </c>
      <c r="Q56" s="112"/>
      <c r="R56" s="265">
        <v>105.99</v>
      </c>
      <c r="S56" s="112"/>
      <c r="T56" s="327">
        <f>IF(ISERROR($T$9/R56-1),"NA",$T$9/R56-1)</f>
        <v>0.26421690725540148</v>
      </c>
    </row>
    <row r="57" spans="1:20">
      <c r="A57" s="328"/>
      <c r="B57" s="329"/>
      <c r="C57" s="329"/>
      <c r="D57" s="329"/>
      <c r="E57" s="330"/>
      <c r="F57" s="112"/>
      <c r="G57" s="331" t="s">
        <v>209</v>
      </c>
      <c r="H57" s="112"/>
      <c r="I57" s="332"/>
      <c r="J57" s="333">
        <f>IF(ISERROR((J52+J55)/(J21+J56)),0,((J52+J55)/(J21+J56)))</f>
        <v>3.689137254901961</v>
      </c>
      <c r="K57" s="333">
        <f>IF(ISERROR((K52+K55)/(K21+K56)),0,((K52+K55)/(K21+K56)))</f>
        <v>3.4062348178137651</v>
      </c>
      <c r="L57" s="334">
        <f>IF(ISERROR((L52+L55)/(L21+L56)),0,((L52+L55)/(L21+L56)))</f>
        <v>2.418016194331984</v>
      </c>
      <c r="M57" s="335">
        <f>IF(ISERROR((M52+M55)/(M21+M56)),0,((M52+M55)/(M21+M56)))</f>
        <v>3.6280480000000006</v>
      </c>
      <c r="N57" s="336">
        <f>IF(ISERROR((N52+N55)/(N21+N56)),0,((N52+N55)/(N21+N56)))</f>
        <v>4.6044080000000003</v>
      </c>
      <c r="O57" s="322"/>
      <c r="P57" s="168"/>
      <c r="Q57" s="112"/>
      <c r="R57" s="112"/>
      <c r="S57" s="112"/>
      <c r="T57" s="327"/>
    </row>
    <row r="58" spans="1:20">
      <c r="A58" s="122"/>
      <c r="B58" s="112"/>
      <c r="C58" s="337" t="s">
        <v>33</v>
      </c>
      <c r="D58" s="337" t="s">
        <v>14</v>
      </c>
      <c r="E58" s="338" t="s">
        <v>35</v>
      </c>
      <c r="F58" s="112"/>
      <c r="G58" s="137"/>
      <c r="H58" s="112"/>
      <c r="I58" s="112"/>
      <c r="J58" s="112"/>
      <c r="K58" s="112"/>
      <c r="L58" s="112"/>
      <c r="M58" s="112"/>
      <c r="N58" s="127"/>
      <c r="O58" s="322"/>
      <c r="P58" s="339" t="s">
        <v>210</v>
      </c>
      <c r="Q58" s="201"/>
      <c r="R58" s="202"/>
      <c r="S58" s="112"/>
      <c r="T58" s="327"/>
    </row>
    <row r="59" spans="1:20">
      <c r="A59" s="340" t="s">
        <v>211</v>
      </c>
      <c r="B59" s="112"/>
      <c r="C59" s="112"/>
      <c r="D59" s="112"/>
      <c r="E59" s="185"/>
      <c r="F59" s="112"/>
      <c r="G59" s="341" t="s">
        <v>212</v>
      </c>
      <c r="H59" s="342"/>
      <c r="I59" s="342"/>
      <c r="J59" s="342"/>
      <c r="K59" s="342"/>
      <c r="L59" s="342"/>
      <c r="M59" s="342"/>
      <c r="N59" s="343"/>
      <c r="O59" s="322"/>
      <c r="P59" s="46" t="s">
        <v>208</v>
      </c>
      <c r="Q59" s="112"/>
      <c r="R59" s="265">
        <f>T9/(1.37)</f>
        <v>97.806094890510934</v>
      </c>
      <c r="S59" s="112"/>
      <c r="T59" s="327">
        <f>IF(ISERROR($T$9/R59-1),"NA",$T$9/R59-1)</f>
        <v>0.37000000000000011</v>
      </c>
    </row>
    <row r="60" spans="1:20">
      <c r="A60" s="122" t="s">
        <v>213</v>
      </c>
      <c r="B60" s="112"/>
      <c r="C60" s="344">
        <f>IF(ISERROR(K8/J8-1),0,K8/J8-1)</f>
        <v>-4.7423332279481478E-3</v>
      </c>
      <c r="D60" s="344">
        <f>IF(ISERROR(K44/J44-1),0,K44/J44-1)</f>
        <v>4.310724025688395E-2</v>
      </c>
      <c r="E60" s="345">
        <f>IF(ISERROR(K57/J57-1),0,K57/J57-1)</f>
        <v>-7.6685256617190833E-2</v>
      </c>
      <c r="F60" s="112"/>
      <c r="G60" s="456"/>
      <c r="H60" s="457"/>
      <c r="I60" s="457"/>
      <c r="J60" s="457"/>
      <c r="K60" s="457"/>
      <c r="L60" s="457"/>
      <c r="M60" s="457"/>
      <c r="N60" s="458"/>
      <c r="O60" s="112"/>
      <c r="P60" s="122" t="s">
        <v>214</v>
      </c>
      <c r="Q60" s="329"/>
      <c r="R60" s="265">
        <f>T9/(1.4)</f>
        <v>95.710250000000002</v>
      </c>
      <c r="S60" s="112"/>
      <c r="T60" s="327">
        <f>IF(ISERROR($T$9/R60-1),"NA",$T$9/R60-1)</f>
        <v>0.39999999999999991</v>
      </c>
    </row>
    <row r="61" spans="1:20">
      <c r="A61" s="122"/>
      <c r="B61" s="112"/>
      <c r="C61" s="344"/>
      <c r="D61" s="344"/>
      <c r="E61" s="345"/>
      <c r="F61" s="112"/>
      <c r="G61" s="459"/>
      <c r="H61" s="445"/>
      <c r="I61" s="445"/>
      <c r="J61" s="445"/>
      <c r="K61" s="445"/>
      <c r="L61" s="445"/>
      <c r="M61" s="445"/>
      <c r="N61" s="446"/>
      <c r="O61" s="112"/>
      <c r="P61" s="201" t="s">
        <v>215</v>
      </c>
      <c r="Q61" s="202"/>
      <c r="R61" s="346">
        <v>0</v>
      </c>
      <c r="S61" s="202"/>
      <c r="T61" s="347" t="str">
        <f>IF(ISERROR($T$9/R61-1),"NA",$T$9/R61-1)</f>
        <v>NA</v>
      </c>
    </row>
    <row r="62" spans="1:20">
      <c r="A62" s="340" t="s">
        <v>216</v>
      </c>
      <c r="B62" s="112"/>
      <c r="C62" s="344"/>
      <c r="D62" s="344"/>
      <c r="E62" s="345"/>
      <c r="F62" s="112"/>
      <c r="G62" s="459"/>
      <c r="H62" s="445"/>
      <c r="I62" s="445"/>
      <c r="J62" s="445"/>
      <c r="K62" s="445"/>
      <c r="L62" s="445"/>
      <c r="M62" s="445"/>
      <c r="N62" s="446"/>
      <c r="O62" s="112"/>
      <c r="P62" s="112"/>
      <c r="Q62" s="112"/>
      <c r="R62" s="112"/>
      <c r="S62" s="112"/>
      <c r="T62" s="112"/>
    </row>
    <row r="63" spans="1:20">
      <c r="A63" s="122" t="s">
        <v>213</v>
      </c>
      <c r="B63" s="112"/>
      <c r="C63" s="344">
        <f>IF(ISERROR(E39/K8-1),0,E39/K8-1)</f>
        <v>0.12960609911054632</v>
      </c>
      <c r="D63" s="344">
        <f>IF(ISERROR(E40/K44-1),0,E40/K44-1)</f>
        <v>-5.1193387872143115E-2</v>
      </c>
      <c r="E63" s="345">
        <f>IF(ISERROR(E42/K57-1),0,E42/K57-1)</f>
        <v>7.1564409156821274E-2</v>
      </c>
      <c r="F63" s="112"/>
      <c r="G63" s="444"/>
      <c r="H63" s="445"/>
      <c r="I63" s="445"/>
      <c r="J63" s="445"/>
      <c r="K63" s="445"/>
      <c r="L63" s="445"/>
      <c r="M63" s="445"/>
      <c r="N63" s="446"/>
      <c r="O63" s="112"/>
      <c r="P63" s="112"/>
      <c r="Q63" s="112"/>
      <c r="R63" s="112"/>
      <c r="S63" s="112"/>
      <c r="T63" s="112"/>
    </row>
    <row r="64" spans="1:20" ht="15.75" thickBot="1">
      <c r="A64" s="201" t="s">
        <v>217</v>
      </c>
      <c r="B64" s="202"/>
      <c r="C64" s="348">
        <f>IF(ISERROR((E45/K8)^(1/2)-1),0,(E45/K8)^(1/2)-1)</f>
        <v>0.13565300640335831</v>
      </c>
      <c r="D64" s="348">
        <f>IF(ISERROR((E46/K44)^(1/2)-1),0,(E46/K44)^(1/2)-1)</f>
        <v>5.1511280015417826E-2</v>
      </c>
      <c r="E64" s="349">
        <f>IF(ISERROR((E48/K57)^(1/2)-1),0,(E48/K57)^(1/2)-1)</f>
        <v>0.13396529531912282</v>
      </c>
      <c r="F64" s="112"/>
      <c r="G64" s="447"/>
      <c r="H64" s="448"/>
      <c r="I64" s="448"/>
      <c r="J64" s="448"/>
      <c r="K64" s="448"/>
      <c r="L64" s="448"/>
      <c r="M64" s="448"/>
      <c r="N64" s="449"/>
      <c r="O64" s="112"/>
      <c r="P64" s="112"/>
      <c r="Q64" s="112"/>
      <c r="R64" s="112"/>
      <c r="S64" s="112"/>
      <c r="T64" s="112"/>
    </row>
    <row r="65" spans="1:20">
      <c r="A65" s="112"/>
      <c r="B65" s="112"/>
      <c r="C65" s="112"/>
      <c r="D65" s="112"/>
      <c r="E65" s="112"/>
      <c r="F65" s="112"/>
      <c r="G65" s="112"/>
      <c r="H65" s="112"/>
      <c r="I65" s="112"/>
      <c r="J65" s="112"/>
      <c r="K65" s="112"/>
      <c r="L65" s="112"/>
      <c r="M65" s="112"/>
      <c r="N65" s="112"/>
      <c r="O65" s="112"/>
      <c r="P65" s="112"/>
      <c r="Q65" s="112"/>
      <c r="R65" s="112"/>
      <c r="S65" s="112"/>
      <c r="T65" s="112"/>
    </row>
    <row r="66" spans="1:20">
      <c r="A66" s="350" t="s">
        <v>218</v>
      </c>
      <c r="B66" s="351"/>
      <c r="C66" s="351"/>
      <c r="D66" s="352" t="s">
        <v>219</v>
      </c>
      <c r="E66" s="353" t="s">
        <v>220</v>
      </c>
      <c r="F66" s="112"/>
      <c r="G66" s="116" t="s">
        <v>221</v>
      </c>
      <c r="H66" s="117"/>
      <c r="I66" s="117"/>
      <c r="J66" s="117"/>
      <c r="K66" s="117"/>
      <c r="L66" s="117"/>
      <c r="M66" s="117"/>
      <c r="N66" s="118"/>
      <c r="O66" s="112"/>
      <c r="P66" s="112"/>
      <c r="Q66" s="112"/>
      <c r="R66" s="112"/>
      <c r="S66" s="112"/>
      <c r="T66" s="112"/>
    </row>
    <row r="67" spans="1:20">
      <c r="A67" s="354"/>
      <c r="E67" s="136"/>
      <c r="F67" s="112"/>
      <c r="G67" s="122"/>
      <c r="H67" s="112"/>
      <c r="I67" s="125"/>
      <c r="J67" s="125"/>
      <c r="K67" s="112"/>
      <c r="L67" s="126" t="s">
        <v>83</v>
      </c>
      <c r="M67" s="126" t="s">
        <v>84</v>
      </c>
      <c r="N67" s="185"/>
      <c r="O67" s="112"/>
      <c r="P67" s="112"/>
      <c r="Q67" s="112"/>
      <c r="R67" s="112"/>
      <c r="S67" s="112"/>
      <c r="T67" s="112"/>
    </row>
    <row r="68" spans="1:20">
      <c r="A68" s="354"/>
      <c r="D68" s="355"/>
      <c r="E68" s="136"/>
      <c r="F68" s="112"/>
      <c r="G68" s="122"/>
      <c r="H68" s="112"/>
      <c r="I68" s="234"/>
      <c r="J68" s="132" t="str">
        <f>"FYE "&amp;TEXT($E$8,"mmmm d")&amp;","</f>
        <v>FYE April 3,</v>
      </c>
      <c r="K68" s="132"/>
      <c r="L68" s="126" t="s">
        <v>87</v>
      </c>
      <c r="M68" s="126" t="s">
        <v>87</v>
      </c>
      <c r="N68" s="251" t="s">
        <v>17</v>
      </c>
      <c r="O68" s="112"/>
      <c r="P68" s="112"/>
      <c r="Q68" s="112"/>
      <c r="R68" s="112"/>
      <c r="S68" s="112"/>
      <c r="T68" s="112"/>
    </row>
    <row r="69" spans="1:20">
      <c r="A69" s="354"/>
      <c r="D69" s="355"/>
      <c r="E69" s="136"/>
      <c r="F69" s="112"/>
      <c r="G69" s="356"/>
      <c r="H69" s="113"/>
      <c r="I69" s="139"/>
      <c r="J69" s="140">
        <f>+J27</f>
        <v>43924</v>
      </c>
      <c r="K69" s="140">
        <f>+K27</f>
        <v>44289</v>
      </c>
      <c r="L69" s="141">
        <f>+L27</f>
        <v>44198</v>
      </c>
      <c r="M69" s="142">
        <f>+M27</f>
        <v>44562</v>
      </c>
      <c r="N69" s="259">
        <f>+N27</f>
        <v>44562</v>
      </c>
      <c r="O69" s="112"/>
      <c r="P69" s="112"/>
      <c r="Q69" s="112"/>
      <c r="R69" s="112"/>
      <c r="S69" s="112"/>
      <c r="T69" s="112"/>
    </row>
    <row r="70" spans="1:20">
      <c r="E70" s="239"/>
      <c r="F70" s="112"/>
      <c r="G70" s="122" t="s">
        <v>182</v>
      </c>
      <c r="H70" s="112"/>
      <c r="I70" s="186"/>
      <c r="J70" s="187">
        <f>97+60+0.7</f>
        <v>157.69999999999999</v>
      </c>
      <c r="K70" s="187">
        <f>122+64+0.7</f>
        <v>186.7</v>
      </c>
      <c r="L70" s="188">
        <f>93+48</f>
        <v>141</v>
      </c>
      <c r="M70" s="189">
        <f>94+54</f>
        <v>148</v>
      </c>
      <c r="N70" s="357">
        <f>K70+M70-L70</f>
        <v>193.7</v>
      </c>
      <c r="O70" s="112"/>
      <c r="P70" s="112"/>
      <c r="Q70" s="112"/>
      <c r="R70" s="112"/>
      <c r="S70" s="112"/>
      <c r="T70" s="112"/>
    </row>
    <row r="71" spans="1:20">
      <c r="E71" s="239"/>
      <c r="F71" s="112"/>
      <c r="G71" s="201" t="s">
        <v>161</v>
      </c>
      <c r="H71" s="202"/>
      <c r="I71" s="358"/>
      <c r="J71" s="191">
        <v>187</v>
      </c>
      <c r="K71" s="191">
        <v>246</v>
      </c>
      <c r="L71" s="192">
        <v>175</v>
      </c>
      <c r="M71" s="193">
        <v>211</v>
      </c>
      <c r="N71" s="359">
        <f>K71+M71-L71</f>
        <v>282</v>
      </c>
      <c r="O71" s="246"/>
      <c r="P71" s="112"/>
      <c r="Q71" s="112"/>
      <c r="R71" s="112"/>
      <c r="S71" s="112"/>
      <c r="T71" s="112"/>
    </row>
    <row r="72" spans="1:20">
      <c r="E72" s="239"/>
      <c r="F72" s="112"/>
      <c r="G72" s="351"/>
      <c r="H72" s="351"/>
      <c r="I72" s="360"/>
      <c r="J72" s="360"/>
      <c r="K72" s="360"/>
      <c r="L72" s="360"/>
      <c r="M72" s="360"/>
      <c r="N72" s="361"/>
      <c r="O72" s="112"/>
      <c r="P72" s="112"/>
      <c r="Q72" s="112"/>
      <c r="R72" s="112"/>
      <c r="S72" s="112"/>
      <c r="T72" s="112"/>
    </row>
    <row r="73" spans="1:20">
      <c r="A73" s="362"/>
      <c r="B73" s="362"/>
      <c r="C73" s="362"/>
      <c r="D73" s="202"/>
      <c r="E73" s="169"/>
      <c r="F73" s="112"/>
      <c r="G73" s="134"/>
      <c r="H73" s="134"/>
      <c r="I73" s="363"/>
      <c r="J73" s="363"/>
      <c r="K73" s="363"/>
      <c r="L73" s="363"/>
      <c r="M73" s="363"/>
      <c r="N73" s="363"/>
      <c r="O73" s="112"/>
      <c r="P73" s="112"/>
      <c r="Q73" s="112"/>
      <c r="R73" s="112"/>
      <c r="S73" s="112"/>
      <c r="T73" s="112"/>
    </row>
  </sheetData>
  <mergeCells count="6">
    <mergeCell ref="G63:N64"/>
    <mergeCell ref="P2:T2"/>
    <mergeCell ref="A18:E21"/>
    <mergeCell ref="A24:E27"/>
    <mergeCell ref="A30:E35"/>
    <mergeCell ref="G60:N6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F19B4-DFA7-49CA-A3A8-75AE95BECBC6}">
  <dimension ref="A1:AB73"/>
  <sheetViews>
    <sheetView showGridLines="0" topLeftCell="A44" workbookViewId="0">
      <selection activeCell="U56" sqref="U56"/>
    </sheetView>
  </sheetViews>
  <sheetFormatPr defaultRowHeight="15"/>
  <cols>
    <col min="4" max="4" width="9.140625" customWidth="1"/>
    <col min="5" max="5" width="18.7109375" customWidth="1"/>
    <col min="7" max="7" width="15.5703125" customWidth="1"/>
    <col min="12" max="13" width="10.42578125" bestFit="1" customWidth="1"/>
    <col min="16" max="16" width="20.7109375" customWidth="1"/>
    <col min="17" max="17" width="10.140625" customWidth="1"/>
    <col min="18" max="18" width="9.7109375" customWidth="1"/>
    <col min="19" max="19" width="11.85546875" customWidth="1"/>
    <col min="20" max="20" width="10.42578125" bestFit="1" customWidth="1"/>
    <col min="24" max="24" width="28.140625" bestFit="1" customWidth="1"/>
    <col min="25" max="25" width="7.7109375" bestFit="1" customWidth="1"/>
    <col min="26" max="28" width="10.28515625" bestFit="1" customWidth="1"/>
  </cols>
  <sheetData>
    <row r="1" spans="1:28" ht="20.25">
      <c r="A1" s="111" t="str">
        <f>"Acquisition of "&amp;E5&amp;" by "&amp;E6</f>
        <v>Acquisition of Tower Semiconductor by Intel</v>
      </c>
      <c r="B1" s="112"/>
      <c r="C1" s="112"/>
      <c r="D1" s="112"/>
      <c r="E1" s="112"/>
      <c r="F1" s="112"/>
      <c r="G1" s="112"/>
      <c r="H1" s="112"/>
      <c r="I1" s="112"/>
      <c r="J1" s="112"/>
      <c r="K1" s="112"/>
      <c r="L1" s="112"/>
      <c r="M1" s="112"/>
      <c r="N1" s="112"/>
      <c r="O1" s="112"/>
      <c r="P1" s="113"/>
      <c r="Q1" s="113"/>
      <c r="R1" s="113"/>
      <c r="S1" s="113"/>
      <c r="T1" s="113"/>
    </row>
    <row r="2" spans="1:28">
      <c r="A2" s="114" t="str">
        <f>E9&amp;" in millions, except per share data"</f>
        <v>USD in millions, except per share data</v>
      </c>
      <c r="B2" s="112"/>
      <c r="C2" s="112"/>
      <c r="D2" s="112"/>
      <c r="E2" s="112"/>
      <c r="F2" s="112"/>
      <c r="G2" s="112"/>
      <c r="H2" s="112"/>
      <c r="I2" s="112"/>
      <c r="J2" s="112"/>
      <c r="K2" s="112"/>
      <c r="L2" s="112"/>
      <c r="M2" s="112"/>
      <c r="N2" s="112"/>
      <c r="O2" s="112"/>
      <c r="P2" s="450"/>
      <c r="Q2" s="450"/>
      <c r="R2" s="450"/>
      <c r="S2" s="450"/>
      <c r="T2" s="450"/>
    </row>
    <row r="3" spans="1:28" ht="15.75" thickBot="1">
      <c r="A3" s="112"/>
      <c r="B3" s="112"/>
      <c r="C3" s="112"/>
      <c r="D3" s="112"/>
      <c r="E3" s="112"/>
      <c r="F3" s="112"/>
      <c r="G3" s="112"/>
      <c r="H3" s="112"/>
      <c r="I3" s="112"/>
      <c r="J3" s="112"/>
      <c r="K3" s="112"/>
      <c r="L3" s="112"/>
      <c r="M3" s="112"/>
      <c r="N3" s="112"/>
      <c r="O3" s="112"/>
      <c r="P3" s="112"/>
      <c r="Q3" s="112"/>
      <c r="R3" s="112"/>
      <c r="S3" s="115"/>
      <c r="T3" s="112"/>
    </row>
    <row r="4" spans="1:28" ht="15.75" thickBot="1">
      <c r="A4" s="116" t="s">
        <v>80</v>
      </c>
      <c r="B4" s="117"/>
      <c r="C4" s="117"/>
      <c r="D4" s="117"/>
      <c r="E4" s="118"/>
      <c r="F4" s="112"/>
      <c r="G4" s="119" t="s">
        <v>81</v>
      </c>
      <c r="H4" s="120"/>
      <c r="I4" s="120"/>
      <c r="J4" s="120"/>
      <c r="K4" s="120"/>
      <c r="L4" s="120"/>
      <c r="M4" s="120"/>
      <c r="N4" s="121"/>
      <c r="O4" s="112"/>
      <c r="P4" s="116" t="s">
        <v>82</v>
      </c>
      <c r="Q4" s="117"/>
      <c r="R4" s="117"/>
      <c r="S4" s="117"/>
      <c r="T4" s="118"/>
    </row>
    <row r="5" spans="1:28">
      <c r="A5" s="122" t="s">
        <v>23</v>
      </c>
      <c r="B5" s="112"/>
      <c r="C5" s="112"/>
      <c r="D5" s="123"/>
      <c r="E5" s="364" t="s">
        <v>38</v>
      </c>
      <c r="F5" s="112"/>
      <c r="G5" s="124"/>
      <c r="H5" s="125"/>
      <c r="I5" s="125"/>
      <c r="J5" s="125"/>
      <c r="K5" s="112"/>
      <c r="L5" s="126" t="s">
        <v>83</v>
      </c>
      <c r="M5" s="126" t="s">
        <v>84</v>
      </c>
      <c r="N5" s="127"/>
      <c r="O5" s="112"/>
      <c r="P5" s="122" t="s">
        <v>85</v>
      </c>
      <c r="Q5" s="112"/>
      <c r="R5" s="112"/>
      <c r="S5" s="128"/>
      <c r="T5" s="129">
        <v>53</v>
      </c>
      <c r="X5" s="376" t="s">
        <v>222</v>
      </c>
      <c r="Y5" s="377"/>
      <c r="Z5" s="377"/>
      <c r="AA5" s="377"/>
      <c r="AB5" s="389"/>
    </row>
    <row r="6" spans="1:28">
      <c r="A6" s="122" t="s">
        <v>24</v>
      </c>
      <c r="B6" s="112"/>
      <c r="C6" s="112"/>
      <c r="D6" s="123"/>
      <c r="E6" s="365" t="s">
        <v>223</v>
      </c>
      <c r="F6" s="112"/>
      <c r="G6" s="130"/>
      <c r="H6" s="125"/>
      <c r="I6" s="131"/>
      <c r="J6" s="132" t="str">
        <f>"FYE "&amp;TEXT($E$8,"mmmm d")&amp;","</f>
        <v>FYE December 31,</v>
      </c>
      <c r="K6" s="132"/>
      <c r="L6" s="126" t="s">
        <v>87</v>
      </c>
      <c r="M6" s="126" t="s">
        <v>87</v>
      </c>
      <c r="N6" s="133" t="s">
        <v>17</v>
      </c>
      <c r="O6" s="112"/>
      <c r="P6" s="122" t="s">
        <v>88</v>
      </c>
      <c r="Q6" s="134"/>
      <c r="R6" s="134"/>
      <c r="S6" s="134"/>
      <c r="T6" s="135">
        <f>+S7*S8</f>
        <v>0</v>
      </c>
      <c r="X6" s="378" t="s">
        <v>224</v>
      </c>
      <c r="Y6" s="379" t="s">
        <v>225</v>
      </c>
      <c r="Z6" s="112"/>
      <c r="AA6" s="112"/>
      <c r="AB6" s="185"/>
    </row>
    <row r="7" spans="1:28">
      <c r="A7" s="122" t="s">
        <v>89</v>
      </c>
      <c r="B7" s="112"/>
      <c r="C7" s="112"/>
      <c r="D7" s="123"/>
      <c r="E7" s="366">
        <v>44607</v>
      </c>
      <c r="F7" s="112"/>
      <c r="G7" s="137"/>
      <c r="H7" s="138"/>
      <c r="I7" s="139"/>
      <c r="J7" s="140">
        <f>E8-365</f>
        <v>44561</v>
      </c>
      <c r="K7" s="140">
        <f>E8</f>
        <v>44926</v>
      </c>
      <c r="L7" s="141">
        <f>+M7-365</f>
        <v>44286</v>
      </c>
      <c r="M7" s="142">
        <v>44651</v>
      </c>
      <c r="N7" s="143">
        <f>+M7</f>
        <v>44651</v>
      </c>
      <c r="O7" s="112"/>
      <c r="P7" s="46" t="s">
        <v>90</v>
      </c>
      <c r="Q7" s="112"/>
      <c r="R7" s="112"/>
      <c r="S7" s="144">
        <v>0</v>
      </c>
      <c r="T7" s="145"/>
      <c r="X7" s="137" t="s">
        <v>92</v>
      </c>
      <c r="Y7" s="380">
        <f>K8</f>
        <v>1678</v>
      </c>
      <c r="Z7" s="381">
        <f>Y7*(1+AB16)</f>
        <v>1723.5436810856659</v>
      </c>
      <c r="AA7" s="381">
        <f>Z7*(1+AB16)</f>
        <v>1770.323492616405</v>
      </c>
      <c r="AB7" s="390">
        <f>AA7*(1+AB16)</f>
        <v>1818.3729852065026</v>
      </c>
    </row>
    <row r="8" spans="1:28">
      <c r="A8" s="122" t="s">
        <v>91</v>
      </c>
      <c r="B8" s="112"/>
      <c r="C8" s="112"/>
      <c r="D8" s="146"/>
      <c r="E8" s="366">
        <v>44926</v>
      </c>
      <c r="F8" s="112"/>
      <c r="G8" s="147" t="s">
        <v>92</v>
      </c>
      <c r="H8" s="148"/>
      <c r="I8" s="149"/>
      <c r="J8" s="150">
        <v>1508</v>
      </c>
      <c r="K8" s="150">
        <v>1678</v>
      </c>
      <c r="L8" s="151">
        <v>347</v>
      </c>
      <c r="M8" s="152">
        <v>421</v>
      </c>
      <c r="N8" s="153">
        <f>K8+M8-L8</f>
        <v>1752</v>
      </c>
      <c r="O8" s="112"/>
      <c r="P8" s="46" t="s">
        <v>93</v>
      </c>
      <c r="Q8" s="112"/>
      <c r="R8" s="112"/>
      <c r="S8" s="154">
        <v>0</v>
      </c>
      <c r="T8" s="145"/>
      <c r="X8" s="137" t="s">
        <v>96</v>
      </c>
      <c r="Y8" s="382">
        <f>K9</f>
        <v>1211</v>
      </c>
      <c r="Z8" s="382">
        <f>Z7*(1-$AB$17)</f>
        <v>664.6530958439356</v>
      </c>
      <c r="AA8" s="382">
        <f t="shared" ref="AA8:AB8" si="0">AA7*(1-$AB$17)</f>
        <v>682.69287452672268</v>
      </c>
      <c r="AB8" s="391">
        <f t="shared" si="0"/>
        <v>701.22228248673559</v>
      </c>
    </row>
    <row r="9" spans="1:28">
      <c r="A9" s="122" t="s">
        <v>94</v>
      </c>
      <c r="B9" s="112"/>
      <c r="C9" s="112"/>
      <c r="D9" s="112"/>
      <c r="E9" s="365" t="s">
        <v>95</v>
      </c>
      <c r="F9" s="112"/>
      <c r="G9" s="155" t="s">
        <v>96</v>
      </c>
      <c r="H9" s="112"/>
      <c r="I9" s="156"/>
      <c r="J9" s="157">
        <v>1179</v>
      </c>
      <c r="K9" s="157">
        <v>1211</v>
      </c>
      <c r="L9" s="158">
        <v>277</v>
      </c>
      <c r="M9" s="159">
        <v>317</v>
      </c>
      <c r="N9" s="160">
        <f>K9+M9-L9</f>
        <v>1251</v>
      </c>
      <c r="O9" s="161"/>
      <c r="P9" s="162" t="s">
        <v>97</v>
      </c>
      <c r="Q9" s="148"/>
      <c r="R9" s="148"/>
      <c r="S9" s="148"/>
      <c r="T9" s="163">
        <f>+T5+T6</f>
        <v>53</v>
      </c>
      <c r="X9" s="331" t="s">
        <v>100</v>
      </c>
      <c r="Y9" s="383">
        <f>Y7-Y8</f>
        <v>467</v>
      </c>
      <c r="Z9" s="383">
        <f t="shared" ref="Z9:AB9" si="1">Z7-Z8</f>
        <v>1058.8905852417302</v>
      </c>
      <c r="AA9" s="383">
        <f t="shared" si="1"/>
        <v>1087.6306180896822</v>
      </c>
      <c r="AB9" s="392">
        <f t="shared" si="1"/>
        <v>1117.150702719767</v>
      </c>
    </row>
    <row r="10" spans="1:28">
      <c r="A10" s="112" t="s">
        <v>98</v>
      </c>
      <c r="B10" s="112"/>
      <c r="C10" s="112"/>
      <c r="D10" s="112"/>
      <c r="E10" s="365" t="s">
        <v>226</v>
      </c>
      <c r="F10" s="112"/>
      <c r="G10" s="164" t="s">
        <v>100</v>
      </c>
      <c r="H10" s="112"/>
      <c r="I10" s="165"/>
      <c r="J10" s="165">
        <f>+J8-J9</f>
        <v>329</v>
      </c>
      <c r="K10" s="165">
        <f>+K8-K9</f>
        <v>467</v>
      </c>
      <c r="L10" s="166">
        <f>+L8-L9</f>
        <v>70</v>
      </c>
      <c r="M10" s="167">
        <f>+M8-M9</f>
        <v>104</v>
      </c>
      <c r="N10" s="153">
        <f>+N8-N9</f>
        <v>501</v>
      </c>
      <c r="O10" s="112"/>
      <c r="P10" s="168" t="s">
        <v>101</v>
      </c>
      <c r="Q10" s="112"/>
      <c r="R10" s="112"/>
      <c r="S10" s="112"/>
      <c r="T10" s="169">
        <f>+T27</f>
        <v>110.02975396226415</v>
      </c>
      <c r="X10" s="137"/>
      <c r="Y10" s="112"/>
      <c r="Z10" s="112"/>
      <c r="AA10" s="112"/>
      <c r="AB10" s="185"/>
    </row>
    <row r="11" spans="1:28">
      <c r="A11" s="122" t="s">
        <v>102</v>
      </c>
      <c r="B11" s="112"/>
      <c r="C11" s="112"/>
      <c r="D11" s="112"/>
      <c r="E11" s="372">
        <v>0.21</v>
      </c>
      <c r="F11" s="112"/>
      <c r="G11" s="155" t="s">
        <v>103</v>
      </c>
      <c r="H11" s="170"/>
      <c r="I11" s="156"/>
      <c r="J11" s="171">
        <v>163</v>
      </c>
      <c r="K11" s="157">
        <v>155</v>
      </c>
      <c r="L11" s="172">
        <v>37</v>
      </c>
      <c r="M11" s="173">
        <v>42</v>
      </c>
      <c r="N11" s="174">
        <f>K11+M11-L11</f>
        <v>160</v>
      </c>
      <c r="O11" s="112"/>
      <c r="P11" s="175" t="s">
        <v>104</v>
      </c>
      <c r="Q11" s="112"/>
      <c r="R11" s="112"/>
      <c r="S11" s="112"/>
      <c r="T11" s="176">
        <f>+T10*T9</f>
        <v>5831.5769600000003</v>
      </c>
      <c r="X11" s="137" t="s">
        <v>227</v>
      </c>
      <c r="Y11" s="382">
        <f>K11</f>
        <v>155</v>
      </c>
      <c r="Z11" s="381">
        <f>Z7*$AB$18</f>
        <v>444.0508905852418</v>
      </c>
      <c r="AA11" s="381">
        <f t="shared" ref="AA11:AB11" si="2">AA7*$AB$18</f>
        <v>456.10316242470554</v>
      </c>
      <c r="AB11" s="390">
        <f t="shared" si="2"/>
        <v>468.48255275345076</v>
      </c>
    </row>
    <row r="12" spans="1:28">
      <c r="A12" s="177" t="s">
        <v>105</v>
      </c>
      <c r="B12" s="178"/>
      <c r="C12" s="178"/>
      <c r="D12" s="179"/>
      <c r="E12" s="180" t="s">
        <v>106</v>
      </c>
      <c r="F12" s="112"/>
      <c r="G12" s="164" t="s">
        <v>107</v>
      </c>
      <c r="H12" s="170"/>
      <c r="I12" s="165"/>
      <c r="J12" s="181">
        <f>J10-J11</f>
        <v>166</v>
      </c>
      <c r="K12" s="181">
        <f>K10-K11</f>
        <v>312</v>
      </c>
      <c r="L12" s="182">
        <f>L10-L11</f>
        <v>33</v>
      </c>
      <c r="M12" s="183">
        <f>M10-M11</f>
        <v>62</v>
      </c>
      <c r="N12" s="184">
        <f>N10-N11</f>
        <v>341</v>
      </c>
      <c r="O12" s="112"/>
      <c r="P12" s="122"/>
      <c r="Q12" s="112"/>
      <c r="R12" s="112"/>
      <c r="S12" s="112"/>
      <c r="T12" s="185"/>
      <c r="X12" s="331" t="s">
        <v>14</v>
      </c>
      <c r="Y12" s="383">
        <f>Y13+$K$42</f>
        <v>605</v>
      </c>
      <c r="Z12" s="383">
        <f>Z13+$K$42</f>
        <v>907.83969465648829</v>
      </c>
      <c r="AA12" s="383">
        <f t="shared" ref="AA12:AB12" si="3">AA13+$K$42</f>
        <v>924.52745566497674</v>
      </c>
      <c r="AB12" s="392">
        <f t="shared" si="3"/>
        <v>941.66814996631615</v>
      </c>
    </row>
    <row r="13" spans="1:28">
      <c r="A13" s="112" t="s">
        <v>108</v>
      </c>
      <c r="B13" s="112"/>
      <c r="C13" s="112"/>
      <c r="D13" s="112"/>
      <c r="E13" s="368" t="s">
        <v>228</v>
      </c>
      <c r="F13" s="112"/>
      <c r="G13" s="155" t="s">
        <v>110</v>
      </c>
      <c r="H13" s="170"/>
      <c r="I13" s="186"/>
      <c r="J13" s="187">
        <v>13</v>
      </c>
      <c r="K13" s="187">
        <v>13</v>
      </c>
      <c r="L13" s="188">
        <v>8</v>
      </c>
      <c r="M13" s="189">
        <v>2</v>
      </c>
      <c r="N13" s="174">
        <f>K13+M13-L13</f>
        <v>7</v>
      </c>
      <c r="O13" s="112"/>
      <c r="P13" s="168" t="s">
        <v>111</v>
      </c>
      <c r="Q13" s="112"/>
      <c r="R13" s="112"/>
      <c r="S13" s="186"/>
      <c r="T13" s="190">
        <v>210</v>
      </c>
      <c r="U13">
        <v>159.65600000000001</v>
      </c>
      <c r="V13">
        <v>272</v>
      </c>
      <c r="X13" s="384" t="s">
        <v>15</v>
      </c>
      <c r="Y13" s="383">
        <f>Y9-Y11</f>
        <v>312</v>
      </c>
      <c r="Z13" s="383">
        <f>Z9-Z11</f>
        <v>614.83969465648829</v>
      </c>
      <c r="AA13" s="383">
        <f t="shared" ref="AA13:AB13" si="4">AA9-AA11</f>
        <v>631.52745566497674</v>
      </c>
      <c r="AB13" s="392">
        <f t="shared" si="4"/>
        <v>648.66814996631615</v>
      </c>
    </row>
    <row r="14" spans="1:28">
      <c r="A14" s="112" t="s">
        <v>112</v>
      </c>
      <c r="B14" s="112"/>
      <c r="C14" s="112"/>
      <c r="D14" s="112"/>
      <c r="E14" s="368">
        <v>1</v>
      </c>
      <c r="F14" s="112"/>
      <c r="G14" s="155" t="s">
        <v>113</v>
      </c>
      <c r="H14" s="170"/>
      <c r="I14" s="186"/>
      <c r="J14" s="191">
        <v>-1</v>
      </c>
      <c r="K14" s="191">
        <v>7</v>
      </c>
      <c r="L14" s="192">
        <v>0</v>
      </c>
      <c r="M14" s="193">
        <v>0</v>
      </c>
      <c r="N14" s="160">
        <f>K14+M14-L14</f>
        <v>7</v>
      </c>
      <c r="O14" s="112"/>
      <c r="P14" s="168" t="s">
        <v>114</v>
      </c>
      <c r="Q14" s="112"/>
      <c r="R14" s="112"/>
      <c r="S14" s="112"/>
      <c r="T14" s="190">
        <v>0</v>
      </c>
      <c r="X14" s="385"/>
      <c r="Y14" s="112"/>
      <c r="Z14" s="112"/>
      <c r="AA14" s="112"/>
      <c r="AB14" s="185"/>
    </row>
    <row r="15" spans="1:28" ht="16.5">
      <c r="A15" s="112" t="s">
        <v>115</v>
      </c>
      <c r="B15" s="112"/>
      <c r="C15" s="112"/>
      <c r="D15" s="112"/>
      <c r="E15" s="369">
        <v>0</v>
      </c>
      <c r="F15" s="112"/>
      <c r="G15" s="164" t="s">
        <v>116</v>
      </c>
      <c r="H15" s="112"/>
      <c r="I15" s="165"/>
      <c r="J15" s="165">
        <f>J12-SUM(J13:J14)</f>
        <v>154</v>
      </c>
      <c r="K15" s="165">
        <f>K12-SUM(K13:K14)</f>
        <v>292</v>
      </c>
      <c r="L15" s="166">
        <f>L12-SUM(L13:L14)</f>
        <v>25</v>
      </c>
      <c r="M15" s="167">
        <f>M12-SUM(M13:M14)</f>
        <v>60</v>
      </c>
      <c r="N15" s="153">
        <f>N12-SUM(N13:N14)</f>
        <v>327</v>
      </c>
      <c r="O15" s="112"/>
      <c r="P15" s="168" t="s">
        <v>117</v>
      </c>
      <c r="Q15" s="112"/>
      <c r="R15" s="112"/>
      <c r="S15" s="112"/>
      <c r="T15" s="190">
        <v>2.6</v>
      </c>
      <c r="X15" s="386" t="s">
        <v>229</v>
      </c>
      <c r="Y15" s="112"/>
      <c r="Z15" s="112"/>
      <c r="AA15" s="112"/>
      <c r="AB15" s="185"/>
    </row>
    <row r="16" spans="1:28">
      <c r="A16" s="112"/>
      <c r="B16" s="112"/>
      <c r="C16" s="112"/>
      <c r="D16" s="112"/>
      <c r="E16" s="185"/>
      <c r="F16" s="112"/>
      <c r="G16" s="194" t="s">
        <v>118</v>
      </c>
      <c r="H16" s="112"/>
      <c r="I16" s="186"/>
      <c r="J16" s="187">
        <v>1</v>
      </c>
      <c r="K16" s="187">
        <v>26</v>
      </c>
      <c r="L16" s="188">
        <v>-6</v>
      </c>
      <c r="M16" s="189">
        <v>5</v>
      </c>
      <c r="N16" s="174">
        <f>K16+M16-L16</f>
        <v>37</v>
      </c>
      <c r="O16" s="112"/>
      <c r="P16" s="168" t="s">
        <v>119</v>
      </c>
      <c r="Q16" s="112"/>
      <c r="R16" s="112"/>
      <c r="S16" s="112"/>
      <c r="T16" s="190">
        <f>-(341+495)</f>
        <v>-836</v>
      </c>
      <c r="X16" s="385" t="s">
        <v>230</v>
      </c>
      <c r="Y16" s="112"/>
      <c r="Z16" s="387">
        <f>K9/J9-1</f>
        <v>2.714164546225617E-2</v>
      </c>
      <c r="AA16" s="387"/>
      <c r="AB16" s="393">
        <f>AVERAGE(Z16:AA16)</f>
        <v>2.714164546225617E-2</v>
      </c>
    </row>
    <row r="17" spans="1:28">
      <c r="A17" s="195" t="s">
        <v>120</v>
      </c>
      <c r="B17" s="196"/>
      <c r="C17" s="196"/>
      <c r="D17" s="197"/>
      <c r="E17" s="198"/>
      <c r="F17" s="112"/>
      <c r="G17" s="194" t="s">
        <v>121</v>
      </c>
      <c r="H17" s="112"/>
      <c r="I17" s="186"/>
      <c r="J17" s="187">
        <v>0</v>
      </c>
      <c r="K17" s="187">
        <v>0</v>
      </c>
      <c r="L17" s="188">
        <v>0</v>
      </c>
      <c r="M17" s="189">
        <v>0</v>
      </c>
      <c r="N17" s="199">
        <f>K17+M17-L17</f>
        <v>0</v>
      </c>
      <c r="O17" s="112"/>
      <c r="P17" s="175" t="s">
        <v>122</v>
      </c>
      <c r="Q17" s="112"/>
      <c r="R17" s="112"/>
      <c r="S17" s="112"/>
      <c r="T17" s="200">
        <f>SUM(T11:T16)</f>
        <v>5208.1769600000007</v>
      </c>
      <c r="X17" s="137" t="s">
        <v>231</v>
      </c>
      <c r="Y17" s="387">
        <f>(J9-J10)/J9</f>
        <v>0.72094995759117897</v>
      </c>
      <c r="Z17" s="387">
        <f t="shared" ref="Z17" si="5">(K9-K10)/K9</f>
        <v>0.61436829066886867</v>
      </c>
      <c r="AA17" s="387"/>
      <c r="AB17" s="393">
        <f>Z17</f>
        <v>0.61436829066886867</v>
      </c>
    </row>
    <row r="18" spans="1:28">
      <c r="A18" s="451" t="s">
        <v>232</v>
      </c>
      <c r="B18" s="445"/>
      <c r="C18" s="445"/>
      <c r="D18" s="445"/>
      <c r="E18" s="452"/>
      <c r="F18" s="112"/>
      <c r="G18" s="194" t="s">
        <v>124</v>
      </c>
      <c r="H18" s="112"/>
      <c r="I18" s="186"/>
      <c r="J18" s="191">
        <v>0</v>
      </c>
      <c r="K18" s="191">
        <v>0</v>
      </c>
      <c r="L18" s="192">
        <v>0</v>
      </c>
      <c r="M18" s="193">
        <v>0</v>
      </c>
      <c r="N18" s="199">
        <f>K18+M18-L18</f>
        <v>0</v>
      </c>
      <c r="O18" s="112"/>
      <c r="P18" s="201"/>
      <c r="Q18" s="202"/>
      <c r="R18" s="202"/>
      <c r="S18" s="202"/>
      <c r="T18" s="203"/>
      <c r="X18" s="137" t="s">
        <v>233</v>
      </c>
      <c r="Y18" s="387">
        <f>J12/J9</f>
        <v>0.14079728583545378</v>
      </c>
      <c r="Z18" s="387">
        <f t="shared" ref="Z18" si="6">K12/K9</f>
        <v>0.25763831544178367</v>
      </c>
      <c r="AA18" s="387"/>
      <c r="AB18" s="393">
        <f>Z18</f>
        <v>0.25763831544178367</v>
      </c>
    </row>
    <row r="19" spans="1:28" ht="15.75" thickBot="1">
      <c r="A19" s="445"/>
      <c r="B19" s="445"/>
      <c r="C19" s="445"/>
      <c r="D19" s="445"/>
      <c r="E19" s="452"/>
      <c r="F19" s="112"/>
      <c r="G19" s="164" t="s">
        <v>125</v>
      </c>
      <c r="H19" s="112"/>
      <c r="I19" s="165"/>
      <c r="J19" s="204">
        <f>J15-SUM(J16:J18)</f>
        <v>153</v>
      </c>
      <c r="K19" s="204">
        <f>K15-SUM(K16:K18)</f>
        <v>266</v>
      </c>
      <c r="L19" s="205">
        <f>L15-SUM(L16:L18)</f>
        <v>31</v>
      </c>
      <c r="M19" s="206">
        <f>M15-SUM(M16:M18)</f>
        <v>55</v>
      </c>
      <c r="N19" s="207">
        <f>N15-SUM(N16:N18)</f>
        <v>290</v>
      </c>
      <c r="O19" s="112"/>
      <c r="P19" s="112"/>
      <c r="Q19" s="112"/>
      <c r="R19" s="112"/>
      <c r="S19" s="112"/>
      <c r="T19" s="112"/>
      <c r="X19" s="225" t="s">
        <v>234</v>
      </c>
      <c r="Y19" s="388">
        <f>J45/J9</f>
        <v>2.5985245779928593E-4</v>
      </c>
      <c r="Z19" s="388">
        <f t="shared" ref="Z19" si="7">K45/K9</f>
        <v>3.0953840884462942E-4</v>
      </c>
      <c r="AA19" s="388"/>
      <c r="AB19" s="394">
        <f>Z19</f>
        <v>3.0953840884462942E-4</v>
      </c>
    </row>
    <row r="20" spans="1:28" ht="15.75" thickTop="1">
      <c r="A20" s="445"/>
      <c r="B20" s="445"/>
      <c r="C20" s="445"/>
      <c r="D20" s="445"/>
      <c r="E20" s="452"/>
      <c r="F20" s="112"/>
      <c r="G20" s="208" t="s">
        <v>126</v>
      </c>
      <c r="H20" s="112"/>
      <c r="I20" s="209"/>
      <c r="J20" s="209">
        <f>IF(ISERROR(J16/J15),"NA",(J16/J15))</f>
        <v>6.4935064935064939E-3</v>
      </c>
      <c r="K20" s="210">
        <f>IF(ISERROR(K16/K15),"NA",(K16/K15))</f>
        <v>8.9041095890410954E-2</v>
      </c>
      <c r="L20" s="209">
        <f>IF(ISERROR(L16/L15),"NA",(L16/L15))</f>
        <v>-0.24</v>
      </c>
      <c r="M20" s="210">
        <f>IF(ISERROR(M16/M15),"NA",(M16/M15))</f>
        <v>8.3333333333333329E-2</v>
      </c>
      <c r="N20" s="211">
        <f>IF(ISERROR(N16/N15),"NA",(N16/N15))</f>
        <v>0.11314984709480122</v>
      </c>
      <c r="O20" s="112"/>
      <c r="P20" s="116" t="s">
        <v>127</v>
      </c>
      <c r="Q20" s="212"/>
      <c r="R20" s="212"/>
      <c r="S20" s="212"/>
      <c r="T20" s="213"/>
    </row>
    <row r="21" spans="1:28" ht="19.5" customHeight="1">
      <c r="A21" s="453"/>
      <c r="B21" s="453"/>
      <c r="C21" s="453"/>
      <c r="D21" s="453"/>
      <c r="E21" s="454"/>
      <c r="F21" s="112"/>
      <c r="G21" s="137" t="s">
        <v>128</v>
      </c>
      <c r="H21" s="112"/>
      <c r="I21" s="186"/>
      <c r="J21" s="187">
        <v>110</v>
      </c>
      <c r="K21" s="187">
        <v>111</v>
      </c>
      <c r="L21" s="188">
        <v>109</v>
      </c>
      <c r="M21" s="189">
        <v>111</v>
      </c>
      <c r="N21" s="174">
        <f>+IF(ISERROR(K21+M21-L21),"NA",K21+M21-L21)</f>
        <v>113</v>
      </c>
      <c r="O21" s="112"/>
      <c r="P21" s="214" t="s">
        <v>129</v>
      </c>
      <c r="Q21" s="215"/>
      <c r="R21" s="215"/>
      <c r="S21" s="215"/>
      <c r="T21" s="190">
        <v>109</v>
      </c>
    </row>
    <row r="22" spans="1:28">
      <c r="A22" s="195"/>
      <c r="B22" s="196"/>
      <c r="C22" s="196"/>
      <c r="D22" s="197"/>
      <c r="E22" s="198"/>
      <c r="F22" s="112"/>
      <c r="G22" s="216" t="s">
        <v>130</v>
      </c>
      <c r="H22" s="217"/>
      <c r="I22" s="218"/>
      <c r="J22" s="218">
        <f>+IF(ISERROR(J19/J21),"NA",J19/J21)</f>
        <v>1.3909090909090909</v>
      </c>
      <c r="K22" s="218">
        <f>+IF(ISERROR(K19/K21),"NA",K19/K21)</f>
        <v>2.3963963963963963</v>
      </c>
      <c r="L22" s="219">
        <f>+IF(ISERROR(L19/L21),"NA",L19/L21)</f>
        <v>0.28440366972477066</v>
      </c>
      <c r="M22" s="220">
        <f>+IF(ISERROR(M19/M21),"NA",M19/M21)</f>
        <v>0.49549549549549549</v>
      </c>
      <c r="N22" s="221">
        <f>+IF(ISERROR(K22+M22-L22),"NA",K22+M22-L22)</f>
        <v>2.6074882221671212</v>
      </c>
      <c r="O22" s="112"/>
      <c r="P22" s="214" t="s">
        <v>131</v>
      </c>
      <c r="Q22" s="215"/>
      <c r="R22" s="215"/>
      <c r="S22" s="215"/>
      <c r="T22" s="222">
        <f>+S37</f>
        <v>4.3999999999999997E-2</v>
      </c>
    </row>
    <row r="23" spans="1:28">
      <c r="A23" s="195" t="s">
        <v>132</v>
      </c>
      <c r="B23" s="223"/>
      <c r="C23" s="223"/>
      <c r="D23" s="223"/>
      <c r="E23" s="224"/>
      <c r="F23" s="112"/>
      <c r="G23" s="225"/>
      <c r="H23" s="202"/>
      <c r="I23" s="202"/>
      <c r="J23" s="202"/>
      <c r="K23" s="202"/>
      <c r="L23" s="202"/>
      <c r="M23" s="202"/>
      <c r="N23" s="226"/>
      <c r="O23" s="112"/>
      <c r="P23" s="214" t="s">
        <v>133</v>
      </c>
      <c r="Q23" s="215"/>
      <c r="R23" s="215"/>
      <c r="S23" s="215"/>
      <c r="T23" s="222">
        <f>IF(ISERROR(-T37/T5),0,-T37/T5)</f>
        <v>-1.4246037735849055E-2</v>
      </c>
    </row>
    <row r="24" spans="1:28">
      <c r="A24" s="451" t="s">
        <v>235</v>
      </c>
      <c r="B24" s="453"/>
      <c r="C24" s="453"/>
      <c r="D24" s="453"/>
      <c r="E24" s="454"/>
      <c r="F24" s="112"/>
      <c r="G24" s="227" t="s">
        <v>135</v>
      </c>
      <c r="H24" s="117"/>
      <c r="I24" s="117"/>
      <c r="J24" s="117"/>
      <c r="K24" s="117"/>
      <c r="L24" s="117"/>
      <c r="M24" s="117"/>
      <c r="N24" s="228"/>
      <c r="O24" s="112"/>
      <c r="P24" s="229" t="s">
        <v>136</v>
      </c>
      <c r="Q24" s="230"/>
      <c r="R24" s="230"/>
      <c r="S24" s="230"/>
      <c r="T24" s="231">
        <f>IF(ISERROR(T22+T23),0,T22+T23)</f>
        <v>2.9753962264150943E-2</v>
      </c>
    </row>
    <row r="25" spans="1:28">
      <c r="A25" s="453"/>
      <c r="B25" s="453"/>
      <c r="C25" s="453"/>
      <c r="D25" s="453"/>
      <c r="E25" s="454"/>
      <c r="F25" s="232"/>
      <c r="G25" s="137"/>
      <c r="H25" s="112"/>
      <c r="I25" s="125"/>
      <c r="J25" s="125"/>
      <c r="K25" s="112"/>
      <c r="L25" s="126" t="s">
        <v>83</v>
      </c>
      <c r="M25" s="126" t="s">
        <v>84</v>
      </c>
      <c r="N25" s="127"/>
      <c r="O25" s="112"/>
      <c r="P25" s="168" t="s">
        <v>137</v>
      </c>
      <c r="Q25" s="215"/>
      <c r="R25" s="215"/>
      <c r="S25" s="215"/>
      <c r="T25" s="233">
        <f>+T44</f>
        <v>0</v>
      </c>
    </row>
    <row r="26" spans="1:28">
      <c r="A26" s="453"/>
      <c r="B26" s="453"/>
      <c r="C26" s="453"/>
      <c r="D26" s="453"/>
      <c r="E26" s="454"/>
      <c r="F26" s="112"/>
      <c r="G26" s="137"/>
      <c r="H26" s="112"/>
      <c r="I26" s="234"/>
      <c r="J26" s="132" t="str">
        <f>"FYE "&amp;TEXT($E$8,"mmmm d")&amp;","</f>
        <v>FYE December 31,</v>
      </c>
      <c r="K26" s="132"/>
      <c r="L26" s="126" t="s">
        <v>87</v>
      </c>
      <c r="M26" s="126" t="s">
        <v>87</v>
      </c>
      <c r="N26" s="133" t="s">
        <v>17</v>
      </c>
      <c r="O26" s="112"/>
      <c r="P26" s="168" t="s">
        <v>138</v>
      </c>
      <c r="Q26" s="215"/>
      <c r="R26" s="215"/>
      <c r="S26" s="215"/>
      <c r="T26" s="190">
        <v>1</v>
      </c>
      <c r="U26" t="s">
        <v>236</v>
      </c>
    </row>
    <row r="27" spans="1:28" ht="19.5" customHeight="1">
      <c r="A27" s="453"/>
      <c r="B27" s="453"/>
      <c r="C27" s="453"/>
      <c r="D27" s="453"/>
      <c r="E27" s="454"/>
      <c r="F27" s="112"/>
      <c r="G27" s="235"/>
      <c r="H27" s="113"/>
      <c r="I27" s="139"/>
      <c r="J27" s="140">
        <f>+J7</f>
        <v>44561</v>
      </c>
      <c r="K27" s="140">
        <f>+K7</f>
        <v>44926</v>
      </c>
      <c r="L27" s="141">
        <f>+L7</f>
        <v>44286</v>
      </c>
      <c r="M27" s="142">
        <f>+M7</f>
        <v>44651</v>
      </c>
      <c r="N27" s="143">
        <f>+N7</f>
        <v>44651</v>
      </c>
      <c r="O27" s="236"/>
      <c r="P27" s="229" t="s">
        <v>139</v>
      </c>
      <c r="Q27" s="215"/>
      <c r="R27" s="215"/>
      <c r="S27" s="215"/>
      <c r="T27" s="237">
        <f>T21+SUM(T24:T26)</f>
        <v>110.02975396226415</v>
      </c>
      <c r="U27" t="s">
        <v>237</v>
      </c>
    </row>
    <row r="28" spans="1:28">
      <c r="A28" s="238"/>
      <c r="E28" s="239"/>
      <c r="F28" s="236"/>
      <c r="G28" s="137" t="s">
        <v>140</v>
      </c>
      <c r="H28" s="112"/>
      <c r="I28" s="240"/>
      <c r="J28" s="240">
        <f>J10</f>
        <v>329</v>
      </c>
      <c r="K28" s="240">
        <f>K10</f>
        <v>467</v>
      </c>
      <c r="L28" s="241">
        <f>L10</f>
        <v>70</v>
      </c>
      <c r="M28" s="242">
        <f>M10</f>
        <v>104</v>
      </c>
      <c r="N28" s="243">
        <f>N10</f>
        <v>501</v>
      </c>
      <c r="O28" s="112"/>
      <c r="P28" s="122"/>
      <c r="Q28" s="112"/>
      <c r="R28" s="112"/>
      <c r="S28" s="112"/>
      <c r="T28" s="185"/>
    </row>
    <row r="29" spans="1:28">
      <c r="A29" s="244" t="s">
        <v>141</v>
      </c>
      <c r="E29" s="239"/>
      <c r="F29" s="236"/>
      <c r="G29" s="137" t="s">
        <v>142</v>
      </c>
      <c r="H29" s="112"/>
      <c r="I29" s="186"/>
      <c r="J29" s="191">
        <v>0</v>
      </c>
      <c r="K29" s="191">
        <v>0</v>
      </c>
      <c r="L29" s="192">
        <v>0</v>
      </c>
      <c r="M29" s="193">
        <v>0</v>
      </c>
      <c r="N29" s="245">
        <f>K29+M29-L29</f>
        <v>0</v>
      </c>
      <c r="O29" s="246"/>
      <c r="P29" s="247" t="s">
        <v>143</v>
      </c>
      <c r="Q29" s="248"/>
      <c r="R29" s="248"/>
      <c r="S29" s="248"/>
      <c r="T29" s="249"/>
    </row>
    <row r="30" spans="1:28">
      <c r="A30" s="455" t="s">
        <v>238</v>
      </c>
      <c r="B30" s="445"/>
      <c r="C30" s="445"/>
      <c r="D30" s="445"/>
      <c r="E30" s="452"/>
      <c r="F30" s="112"/>
      <c r="G30" s="164" t="s">
        <v>145</v>
      </c>
      <c r="H30" s="112"/>
      <c r="I30" s="165"/>
      <c r="J30" s="165">
        <f>SUM(J28:J29)</f>
        <v>329</v>
      </c>
      <c r="K30" s="165">
        <f>SUM(K28:K29)</f>
        <v>467</v>
      </c>
      <c r="L30" s="166">
        <f>SUM(L28:L29)</f>
        <v>70</v>
      </c>
      <c r="M30" s="167">
        <f>SUM(M28:M29)</f>
        <v>104</v>
      </c>
      <c r="N30" s="153">
        <f>SUM(N28:N29)</f>
        <v>501</v>
      </c>
      <c r="O30" s="112"/>
      <c r="P30" s="250"/>
      <c r="Q30" s="126" t="s">
        <v>146</v>
      </c>
      <c r="R30" s="126" t="s">
        <v>147</v>
      </c>
      <c r="S30" s="126" t="s">
        <v>148</v>
      </c>
      <c r="T30" s="251"/>
    </row>
    <row r="31" spans="1:28">
      <c r="A31" s="445"/>
      <c r="B31" s="445"/>
      <c r="C31" s="445"/>
      <c r="D31" s="445"/>
      <c r="E31" s="452"/>
      <c r="F31" s="112"/>
      <c r="G31" s="252" t="s">
        <v>149</v>
      </c>
      <c r="H31" s="134"/>
      <c r="I31" s="253"/>
      <c r="J31" s="253">
        <f>IF(ISERROR(J30/J8),"NA",J30/J8)</f>
        <v>0.21816976127320956</v>
      </c>
      <c r="K31" s="253">
        <f>IF(ISERROR(K30/K8),"NA",K30/K8)</f>
        <v>0.27830750893921335</v>
      </c>
      <c r="L31" s="254">
        <f>IF(ISERROR(L30/L8),"NA",L30/L8)</f>
        <v>0.20172910662824209</v>
      </c>
      <c r="M31" s="255">
        <f>IF(ISERROR(M30/M8),"NA",M30/M8)</f>
        <v>0.24703087885985747</v>
      </c>
      <c r="N31" s="256">
        <f>IF(ISERROR(N30/N8),"NA",N30/N8)</f>
        <v>0.28595890410958902</v>
      </c>
      <c r="O31" s="112"/>
      <c r="P31" s="257" t="s">
        <v>150</v>
      </c>
      <c r="Q31" s="258" t="s">
        <v>151</v>
      </c>
      <c r="R31" s="258" t="s">
        <v>152</v>
      </c>
      <c r="S31" s="258" t="s">
        <v>151</v>
      </c>
      <c r="T31" s="259" t="s">
        <v>153</v>
      </c>
    </row>
    <row r="32" spans="1:28">
      <c r="A32" s="445"/>
      <c r="B32" s="445"/>
      <c r="C32" s="445"/>
      <c r="D32" s="445"/>
      <c r="E32" s="452"/>
      <c r="F32" s="112"/>
      <c r="G32" s="137"/>
      <c r="H32" s="112"/>
      <c r="I32" s="260"/>
      <c r="J32" s="260"/>
      <c r="K32" s="260"/>
      <c r="L32" s="261"/>
      <c r="M32" s="262"/>
      <c r="N32" s="263"/>
      <c r="O32" s="112"/>
      <c r="P32" s="46" t="s">
        <v>154</v>
      </c>
      <c r="Q32" s="264">
        <v>4.3999999999999997E-2</v>
      </c>
      <c r="R32" s="265">
        <v>17.16</v>
      </c>
      <c r="S32" s="266">
        <f>+IF(R32&lt;$T$5,Q32,0)</f>
        <v>4.3999999999999997E-2</v>
      </c>
      <c r="T32" s="267">
        <f>IF(S32="NA","NA",S32*R32)</f>
        <v>0.75503999999999993</v>
      </c>
    </row>
    <row r="33" spans="1:20">
      <c r="A33" s="453"/>
      <c r="B33" s="453"/>
      <c r="C33" s="453"/>
      <c r="D33" s="453"/>
      <c r="E33" s="454"/>
      <c r="F33" s="112"/>
      <c r="G33" s="137" t="s">
        <v>155</v>
      </c>
      <c r="H33" s="112"/>
      <c r="I33" s="240"/>
      <c r="J33" s="240">
        <f>J12</f>
        <v>166</v>
      </c>
      <c r="K33" s="240">
        <f>K12</f>
        <v>312</v>
      </c>
      <c r="L33" s="241">
        <f>L12</f>
        <v>33</v>
      </c>
      <c r="M33" s="242">
        <f>M12</f>
        <v>62</v>
      </c>
      <c r="N33" s="243">
        <f>N12</f>
        <v>341</v>
      </c>
      <c r="O33" s="112"/>
      <c r="P33" s="46" t="s">
        <v>156</v>
      </c>
      <c r="Q33" s="264">
        <v>0</v>
      </c>
      <c r="R33" s="268">
        <v>0</v>
      </c>
      <c r="S33" s="266">
        <f>+IF(R33&lt;$T$5,Q33,0)</f>
        <v>0</v>
      </c>
      <c r="T33" s="269">
        <f>IF(S33="NA","NA",S33*R33)</f>
        <v>0</v>
      </c>
    </row>
    <row r="34" spans="1:20">
      <c r="A34" s="453"/>
      <c r="B34" s="453"/>
      <c r="C34" s="453"/>
      <c r="D34" s="453"/>
      <c r="E34" s="454"/>
      <c r="F34" s="236"/>
      <c r="G34" s="137" t="s">
        <v>157</v>
      </c>
      <c r="H34" s="112"/>
      <c r="I34" s="186"/>
      <c r="J34" s="187">
        <v>0</v>
      </c>
      <c r="K34" s="187">
        <v>0</v>
      </c>
      <c r="L34" s="188">
        <v>0</v>
      </c>
      <c r="M34" s="189">
        <v>0</v>
      </c>
      <c r="N34" s="199">
        <f>K34+M34-L34</f>
        <v>0</v>
      </c>
      <c r="O34" s="112"/>
      <c r="P34" s="46" t="s">
        <v>158</v>
      </c>
      <c r="Q34" s="264">
        <v>0</v>
      </c>
      <c r="R34" s="268">
        <v>0</v>
      </c>
      <c r="S34" s="266">
        <f>+IF(R34&lt;$T$5,Q34,0)</f>
        <v>0</v>
      </c>
      <c r="T34" s="270">
        <f>IF(S34="NA","NA",S34*R34)</f>
        <v>0</v>
      </c>
    </row>
    <row r="35" spans="1:20">
      <c r="A35" s="453"/>
      <c r="B35" s="453"/>
      <c r="C35" s="453"/>
      <c r="D35" s="453"/>
      <c r="E35" s="454"/>
      <c r="F35" s="112"/>
      <c r="G35" s="137" t="s">
        <v>159</v>
      </c>
      <c r="H35" s="112"/>
      <c r="I35" s="186"/>
      <c r="J35" s="187">
        <v>0</v>
      </c>
      <c r="K35" s="187">
        <v>0</v>
      </c>
      <c r="L35" s="188">
        <v>0</v>
      </c>
      <c r="M35" s="189">
        <v>0</v>
      </c>
      <c r="N35" s="271">
        <f>K35+M35-L35</f>
        <v>0</v>
      </c>
      <c r="O35" s="246"/>
      <c r="P35" s="46" t="s">
        <v>160</v>
      </c>
      <c r="Q35" s="264">
        <v>0</v>
      </c>
      <c r="R35" s="268">
        <v>0</v>
      </c>
      <c r="S35" s="266">
        <f>+IF(R35&lt;$T$5,Q35,0)</f>
        <v>0</v>
      </c>
      <c r="T35" s="270">
        <f>IF(S35="NA","NA",S35*R35)</f>
        <v>0</v>
      </c>
    </row>
    <row r="36" spans="1:20">
      <c r="A36" s="238"/>
      <c r="B36" s="272"/>
      <c r="C36" s="272"/>
      <c r="D36" s="273"/>
      <c r="E36" s="274"/>
      <c r="F36" s="236"/>
      <c r="G36" s="137" t="s">
        <v>161</v>
      </c>
      <c r="H36" s="112"/>
      <c r="I36" s="186"/>
      <c r="J36" s="266">
        <f>+J71</f>
        <v>25</v>
      </c>
      <c r="K36" s="275">
        <f>+K71</f>
        <v>24</v>
      </c>
      <c r="L36" s="266">
        <f>+L71</f>
        <v>5</v>
      </c>
      <c r="M36" s="275">
        <f>+M71</f>
        <v>6</v>
      </c>
      <c r="N36" s="276">
        <f>+N71</f>
        <v>25</v>
      </c>
      <c r="O36" s="246"/>
      <c r="P36" s="46" t="s">
        <v>162</v>
      </c>
      <c r="Q36" s="277">
        <v>0</v>
      </c>
      <c r="R36" s="278">
        <v>0</v>
      </c>
      <c r="S36" s="279">
        <f>+IF(R36&lt;$T$5,Q36,0)</f>
        <v>0</v>
      </c>
      <c r="T36" s="280">
        <f>IF(S36="NA","NA",S36*R36)</f>
        <v>0</v>
      </c>
    </row>
    <row r="37" spans="1:20">
      <c r="A37" s="116" t="s">
        <v>163</v>
      </c>
      <c r="B37" s="117"/>
      <c r="C37" s="117"/>
      <c r="D37" s="117"/>
      <c r="E37" s="118"/>
      <c r="F37" s="112"/>
      <c r="G37" s="137" t="s">
        <v>164</v>
      </c>
      <c r="H37" s="112"/>
      <c r="I37" s="186"/>
      <c r="J37" s="187">
        <v>0</v>
      </c>
      <c r="K37" s="187">
        <v>0</v>
      </c>
      <c r="L37" s="188">
        <v>0</v>
      </c>
      <c r="M37" s="189">
        <v>0</v>
      </c>
      <c r="N37" s="276">
        <f>K37+M37-L37</f>
        <v>0</v>
      </c>
      <c r="O37" s="125"/>
      <c r="P37" s="162" t="s">
        <v>165</v>
      </c>
      <c r="Q37" s="281">
        <f>SUM(Q32:Q36)</f>
        <v>4.3999999999999997E-2</v>
      </c>
      <c r="R37" s="282"/>
      <c r="S37" s="281">
        <f>SUM(S32:S36)</f>
        <v>4.3999999999999997E-2</v>
      </c>
      <c r="T37" s="176">
        <f>SUM(T32:T36)</f>
        <v>0.75503999999999993</v>
      </c>
    </row>
    <row r="38" spans="1:20">
      <c r="A38" s="283" t="s">
        <v>166</v>
      </c>
      <c r="B38" s="178"/>
      <c r="C38" s="112"/>
      <c r="D38" s="112"/>
      <c r="E38" s="284">
        <f>EOMONTH(E8,12)</f>
        <v>45291</v>
      </c>
      <c r="F38" s="285"/>
      <c r="G38" s="137" t="s">
        <v>167</v>
      </c>
      <c r="H38" s="112"/>
      <c r="I38" s="186"/>
      <c r="J38" s="191">
        <v>0</v>
      </c>
      <c r="K38" s="191">
        <v>0</v>
      </c>
      <c r="L38" s="192">
        <v>0</v>
      </c>
      <c r="M38" s="193">
        <v>0</v>
      </c>
      <c r="N38" s="245">
        <f>K38+M38-L38</f>
        <v>0</v>
      </c>
      <c r="O38" s="112"/>
      <c r="P38" s="247" t="s">
        <v>168</v>
      </c>
      <c r="Q38" s="248"/>
      <c r="R38" s="248"/>
      <c r="S38" s="248"/>
      <c r="T38" s="249"/>
    </row>
    <row r="39" spans="1:20">
      <c r="A39" s="283" t="s">
        <v>169</v>
      </c>
      <c r="B39" s="112"/>
      <c r="C39" s="260" t="s">
        <v>170</v>
      </c>
      <c r="D39" s="286"/>
      <c r="E39" s="190">
        <f>Z7</f>
        <v>1723.5436810856659</v>
      </c>
      <c r="F39" s="112"/>
      <c r="G39" s="164" t="s">
        <v>171</v>
      </c>
      <c r="H39" s="112"/>
      <c r="I39" s="165"/>
      <c r="J39" s="165">
        <f>+J33+SUM(J34:J38)+J29</f>
        <v>191</v>
      </c>
      <c r="K39" s="165">
        <f>+K33+SUM(K34:K38)+K29</f>
        <v>336</v>
      </c>
      <c r="L39" s="166">
        <f>+L33+SUM(L34:L38)+L29</f>
        <v>38</v>
      </c>
      <c r="M39" s="167">
        <f>+M33+SUM(M34:M38)+M29</f>
        <v>68</v>
      </c>
      <c r="N39" s="153">
        <f>+N33+SUM(N34:N38)+N29</f>
        <v>366</v>
      </c>
      <c r="O39" s="112"/>
      <c r="P39" s="287"/>
      <c r="Q39" s="126"/>
      <c r="R39" s="288" t="s">
        <v>172</v>
      </c>
      <c r="S39" s="288" t="s">
        <v>173</v>
      </c>
      <c r="T39" s="289" t="s">
        <v>174</v>
      </c>
    </row>
    <row r="40" spans="1:20">
      <c r="A40" s="283" t="s">
        <v>175</v>
      </c>
      <c r="B40" s="112"/>
      <c r="C40" s="112"/>
      <c r="D40" s="290"/>
      <c r="E40" s="190">
        <f>Z12</f>
        <v>907.83969465648829</v>
      </c>
      <c r="F40" s="112"/>
      <c r="G40" s="252" t="s">
        <v>149</v>
      </c>
      <c r="H40" s="134"/>
      <c r="I40" s="253"/>
      <c r="J40" s="253">
        <f>IF(ISERROR(J39/J8),"NA",J39/J8)</f>
        <v>0.12665782493368699</v>
      </c>
      <c r="K40" s="253">
        <f>IF(ISERROR(K39/K8),"NA",K39/K8)</f>
        <v>0.20023837902264602</v>
      </c>
      <c r="L40" s="254">
        <f>IF(ISERROR(L39/L8),"NA",L39/L8)</f>
        <v>0.10951008645533142</v>
      </c>
      <c r="M40" s="255">
        <f>IF(ISERROR(M39/M8),"NA",M39/M8)</f>
        <v>0.16152019002375298</v>
      </c>
      <c r="N40" s="256">
        <f>IF(ISERROR(N39/N8),"NA",N39/N8)</f>
        <v>0.2089041095890411</v>
      </c>
      <c r="O40" s="125"/>
      <c r="P40" s="287"/>
      <c r="Q40" s="258" t="s">
        <v>176</v>
      </c>
      <c r="R40" s="291" t="s">
        <v>152</v>
      </c>
      <c r="S40" s="291" t="s">
        <v>177</v>
      </c>
      <c r="T40" s="292" t="s">
        <v>151</v>
      </c>
    </row>
    <row r="41" spans="1:20">
      <c r="A41" s="283" t="s">
        <v>178</v>
      </c>
      <c r="B41" s="112"/>
      <c r="C41" s="112"/>
      <c r="D41" s="293"/>
      <c r="E41" s="190">
        <f>Z13</f>
        <v>614.83969465648829</v>
      </c>
      <c r="F41" s="112"/>
      <c r="G41" s="137"/>
      <c r="H41" s="112"/>
      <c r="I41" s="112"/>
      <c r="J41" s="112"/>
      <c r="K41" s="294"/>
      <c r="L41" s="112"/>
      <c r="M41" s="294"/>
      <c r="N41" s="127"/>
      <c r="O41" s="125"/>
      <c r="P41" s="287" t="s">
        <v>180</v>
      </c>
      <c r="Q41" s="264">
        <v>0</v>
      </c>
      <c r="R41" s="265">
        <v>0</v>
      </c>
      <c r="S41" s="295">
        <f>IF(ISERROR(1000/R41),0,(1000/R41))</f>
        <v>0</v>
      </c>
      <c r="T41" s="270">
        <f>+IF(R41&lt;$T$5,IF(ISERROR(Q41/R41),0,Q41/R41),0)</f>
        <v>0</v>
      </c>
    </row>
    <row r="42" spans="1:20">
      <c r="A42" s="283" t="s">
        <v>181</v>
      </c>
      <c r="B42" s="112"/>
      <c r="C42" s="112"/>
      <c r="D42" s="290"/>
      <c r="E42" s="296">
        <v>2.33</v>
      </c>
      <c r="F42" s="112"/>
      <c r="G42" s="137" t="s">
        <v>182</v>
      </c>
      <c r="H42" s="112"/>
      <c r="I42" s="297"/>
      <c r="J42" s="297">
        <f>+J70</f>
        <v>271</v>
      </c>
      <c r="K42" s="297">
        <f>+K70</f>
        <v>293</v>
      </c>
      <c r="L42" s="298">
        <f>+L70</f>
        <v>57.5</v>
      </c>
      <c r="M42" s="299">
        <f>+M70</f>
        <v>64.5</v>
      </c>
      <c r="N42" s="300">
        <f>+N70</f>
        <v>300</v>
      </c>
      <c r="O42" s="246"/>
      <c r="P42" s="287" t="s">
        <v>183</v>
      </c>
      <c r="Q42" s="264">
        <v>0</v>
      </c>
      <c r="R42" s="268">
        <v>0</v>
      </c>
      <c r="S42" s="295">
        <f>IF(ISERROR(1000/R42),0,(1000/R42))</f>
        <v>0</v>
      </c>
      <c r="T42" s="270">
        <f>+IF(R42&lt;$T$5,IF(ISERROR(Q42/R42),0,Q42/R42),0)</f>
        <v>0</v>
      </c>
    </row>
    <row r="43" spans="1:20">
      <c r="A43" s="122"/>
      <c r="B43" s="112"/>
      <c r="C43" s="112"/>
      <c r="D43" s="112"/>
      <c r="E43" s="185"/>
      <c r="F43" s="112"/>
      <c r="G43" s="137" t="s">
        <v>184</v>
      </c>
      <c r="H43" s="112"/>
      <c r="I43" s="186"/>
      <c r="J43" s="191">
        <v>0</v>
      </c>
      <c r="K43" s="191">
        <v>0</v>
      </c>
      <c r="L43" s="192">
        <v>0</v>
      </c>
      <c r="M43" s="193">
        <v>0</v>
      </c>
      <c r="N43" s="301">
        <f>K43+M43-L43</f>
        <v>0</v>
      </c>
      <c r="O43" s="112"/>
      <c r="P43" s="287" t="s">
        <v>185</v>
      </c>
      <c r="Q43" s="264">
        <v>0</v>
      </c>
      <c r="R43" s="268">
        <v>0</v>
      </c>
      <c r="S43" s="295">
        <f>IF(ISERROR(1000/R43),0,(1000/R43))</f>
        <v>0</v>
      </c>
      <c r="T43" s="270">
        <f>+IF(R43&lt;$T$5,IF(ISERROR(Q43/R43),0,Q43/R43),0)</f>
        <v>0</v>
      </c>
    </row>
    <row r="44" spans="1:20">
      <c r="A44" s="283" t="s">
        <v>166</v>
      </c>
      <c r="B44" s="112"/>
      <c r="C44" s="112"/>
      <c r="D44" s="112"/>
      <c r="E44" s="284">
        <f>EOMONTH(E38,12)</f>
        <v>45657</v>
      </c>
      <c r="F44" s="112"/>
      <c r="G44" s="164" t="s">
        <v>186</v>
      </c>
      <c r="H44" s="112"/>
      <c r="I44" s="165"/>
      <c r="J44" s="165">
        <f>+J39+SUM(J42:J43)</f>
        <v>462</v>
      </c>
      <c r="K44" s="165">
        <f>+K39+SUM(K42:K43)</f>
        <v>629</v>
      </c>
      <c r="L44" s="166">
        <f>+L39+SUM(L42:L43)</f>
        <v>95.5</v>
      </c>
      <c r="M44" s="167">
        <f>+M39+SUM(M42:M43)</f>
        <v>132.5</v>
      </c>
      <c r="N44" s="153">
        <f>+N39+SUM(N42:N43)</f>
        <v>666</v>
      </c>
      <c r="O44" s="112"/>
      <c r="P44" s="302" t="s">
        <v>165</v>
      </c>
      <c r="Q44" s="303"/>
      <c r="R44" s="304"/>
      <c r="S44" s="303"/>
      <c r="T44" s="305">
        <f>SUM(T41:T43)</f>
        <v>0</v>
      </c>
    </row>
    <row r="45" spans="1:20">
      <c r="A45" s="283" t="s">
        <v>187</v>
      </c>
      <c r="B45" s="112"/>
      <c r="C45" s="260" t="s">
        <v>170</v>
      </c>
      <c r="D45" s="286"/>
      <c r="E45" s="190">
        <f>AA7</f>
        <v>1770.323492616405</v>
      </c>
      <c r="F45" s="112"/>
      <c r="G45" s="252" t="s">
        <v>149</v>
      </c>
      <c r="H45" s="134"/>
      <c r="I45" s="253"/>
      <c r="J45" s="253">
        <f>IF(ISERROR(J44/J8),"NA",J44/J8)</f>
        <v>0.30636604774535808</v>
      </c>
      <c r="K45" s="253">
        <f>IF(ISERROR(K44/K8),"NA",K44/K8)</f>
        <v>0.37485101311084623</v>
      </c>
      <c r="L45" s="254">
        <f>IF(ISERROR(L44/L8),"NA",L44/L8)</f>
        <v>0.27521613832853026</v>
      </c>
      <c r="M45" s="255">
        <f>IF(ISERROR(M44/M8),"NA",M44/M8)</f>
        <v>0.31472684085510688</v>
      </c>
      <c r="N45" s="256">
        <f>IF(ISERROR(N44/N8),"NA",N44/N8)</f>
        <v>0.38013698630136988</v>
      </c>
      <c r="O45" s="112"/>
      <c r="P45" s="306"/>
      <c r="Q45" s="307"/>
      <c r="R45" s="308"/>
      <c r="S45" s="295"/>
      <c r="T45" s="295"/>
    </row>
    <row r="46" spans="1:20">
      <c r="A46" s="283" t="s">
        <v>188</v>
      </c>
      <c r="B46" s="112"/>
      <c r="C46" s="112"/>
      <c r="D46" s="290"/>
      <c r="E46" s="190">
        <f>AA12</f>
        <v>924.52745566497674</v>
      </c>
      <c r="F46" s="112"/>
      <c r="G46" s="137"/>
      <c r="H46" s="112"/>
      <c r="I46" s="112"/>
      <c r="J46" s="112"/>
      <c r="K46" s="294"/>
      <c r="L46" s="112"/>
      <c r="M46" s="294"/>
      <c r="N46" s="127"/>
      <c r="O46" s="112"/>
      <c r="P46" s="116" t="s">
        <v>189</v>
      </c>
      <c r="Q46" s="117"/>
      <c r="R46" s="117"/>
      <c r="S46" s="117"/>
      <c r="T46" s="118"/>
    </row>
    <row r="47" spans="1:20">
      <c r="A47" s="283" t="s">
        <v>190</v>
      </c>
      <c r="B47" s="112"/>
      <c r="C47" s="112"/>
      <c r="D47" s="293"/>
      <c r="E47" s="190">
        <f>AA13</f>
        <v>631.52745566497674</v>
      </c>
      <c r="F47" s="112"/>
      <c r="G47" s="137" t="s">
        <v>191</v>
      </c>
      <c r="H47" s="112"/>
      <c r="I47" s="240"/>
      <c r="J47" s="240">
        <f>J19</f>
        <v>153</v>
      </c>
      <c r="K47" s="240">
        <f>K19</f>
        <v>266</v>
      </c>
      <c r="L47" s="241">
        <f>L19</f>
        <v>31</v>
      </c>
      <c r="M47" s="242">
        <f>M19</f>
        <v>55</v>
      </c>
      <c r="N47" s="243">
        <f>N19</f>
        <v>290</v>
      </c>
      <c r="O47" s="112"/>
      <c r="P47" s="122"/>
      <c r="Q47" s="112"/>
      <c r="R47" s="126" t="str">
        <f>N6</f>
        <v>LTM</v>
      </c>
      <c r="S47" s="126" t="s">
        <v>192</v>
      </c>
      <c r="T47" s="251" t="s">
        <v>193</v>
      </c>
    </row>
    <row r="48" spans="1:20">
      <c r="A48" s="283" t="s">
        <v>194</v>
      </c>
      <c r="B48" s="112"/>
      <c r="C48" s="112"/>
      <c r="D48" s="290"/>
      <c r="E48" s="296">
        <v>2.52</v>
      </c>
      <c r="F48" s="112"/>
      <c r="G48" s="137" t="s">
        <v>142</v>
      </c>
      <c r="H48" s="112"/>
      <c r="I48" s="309"/>
      <c r="J48" s="309">
        <f>J29</f>
        <v>0</v>
      </c>
      <c r="K48" s="309">
        <f>K29</f>
        <v>0</v>
      </c>
      <c r="L48" s="310">
        <f>L29</f>
        <v>0</v>
      </c>
      <c r="M48" s="311">
        <f>M29</f>
        <v>0</v>
      </c>
      <c r="N48" s="271">
        <f>N29</f>
        <v>0</v>
      </c>
      <c r="O48" s="112"/>
      <c r="P48" s="122"/>
      <c r="Q48" s="112"/>
      <c r="R48" s="258">
        <f>N7</f>
        <v>44651</v>
      </c>
      <c r="S48" s="258">
        <f>+E38</f>
        <v>45291</v>
      </c>
      <c r="T48" s="259">
        <f>S48+365</f>
        <v>45656</v>
      </c>
    </row>
    <row r="49" spans="1:20">
      <c r="A49" s="122"/>
      <c r="B49" s="112"/>
      <c r="C49" s="112"/>
      <c r="D49" s="112"/>
      <c r="E49" s="185"/>
      <c r="F49" s="112"/>
      <c r="G49" s="137" t="s">
        <v>195</v>
      </c>
      <c r="H49" s="112"/>
      <c r="I49" s="266"/>
      <c r="J49" s="266">
        <f>+SUM(J34:J38)</f>
        <v>25</v>
      </c>
      <c r="K49" s="275">
        <f>+SUM(K34:K38)</f>
        <v>24</v>
      </c>
      <c r="L49" s="266">
        <f>+SUM(L34:L38)</f>
        <v>5</v>
      </c>
      <c r="M49" s="275">
        <f>+SUM(M34:M38)</f>
        <v>6</v>
      </c>
      <c r="N49" s="276">
        <f>+SUM(N34:N38)</f>
        <v>25</v>
      </c>
      <c r="O49" s="112"/>
      <c r="P49" s="122" t="s">
        <v>53</v>
      </c>
      <c r="Q49" s="112"/>
      <c r="R49" s="312">
        <f>IF(ISERROR(T17/N8),"NM",T17/N8)</f>
        <v>2.9727037442922377</v>
      </c>
      <c r="S49" s="312">
        <f>IF(ISERROR($T$17/E39),"NM",$T$17/E39)</f>
        <v>3.021784139940888</v>
      </c>
      <c r="T49" s="313">
        <f>IF(ISERROR($T$17/E45),"NM",$T$17/E45)</f>
        <v>2.9419351783569829</v>
      </c>
    </row>
    <row r="50" spans="1:20">
      <c r="A50" s="283" t="s">
        <v>166</v>
      </c>
      <c r="B50" s="112"/>
      <c r="C50" s="112"/>
      <c r="D50" s="112"/>
      <c r="E50" s="284">
        <f>EOMONTH(E44,12)</f>
        <v>46022</v>
      </c>
      <c r="F50" s="112"/>
      <c r="G50" s="137" t="s">
        <v>184</v>
      </c>
      <c r="H50" s="112"/>
      <c r="I50" s="266"/>
      <c r="J50" s="314">
        <v>0</v>
      </c>
      <c r="K50" s="314">
        <v>0</v>
      </c>
      <c r="L50" s="315">
        <v>0</v>
      </c>
      <c r="M50" s="316">
        <v>0</v>
      </c>
      <c r="N50" s="276">
        <f>K50+M50-L50</f>
        <v>0</v>
      </c>
      <c r="O50" s="112"/>
      <c r="P50" s="122" t="s">
        <v>54</v>
      </c>
      <c r="Q50" s="112"/>
      <c r="R50" s="312">
        <f>IF(OR((ISERROR($T$17/N44)),N44&lt;0),"NM",$T$17/N44)</f>
        <v>7.8200855255255268</v>
      </c>
      <c r="S50" s="312">
        <f>IF(OR((ISERROR($T$17/E40)),E40&lt;0),"NM",$T$17/E40)</f>
        <v>5.7368905442834706</v>
      </c>
      <c r="T50" s="313">
        <f>IF(OR((ISERROR($T$17/E46)),E46&lt;0),"NM",$T$17/E46)</f>
        <v>5.6333394190591788</v>
      </c>
    </row>
    <row r="51" spans="1:20">
      <c r="A51" s="283" t="s">
        <v>196</v>
      </c>
      <c r="B51" s="112"/>
      <c r="C51" s="260" t="s">
        <v>170</v>
      </c>
      <c r="D51" s="286"/>
      <c r="E51" s="190">
        <f>AB7</f>
        <v>1818.3729852065026</v>
      </c>
      <c r="F51" s="112"/>
      <c r="G51" s="137" t="s">
        <v>197</v>
      </c>
      <c r="H51" s="112"/>
      <c r="I51" s="266"/>
      <c r="J51" s="266">
        <f>-(SUM(J48:J50)*($E$11))</f>
        <v>-5.25</v>
      </c>
      <c r="K51" s="275">
        <f>-(SUM(K48:K50)*($E$11))</f>
        <v>-5.04</v>
      </c>
      <c r="L51" s="266">
        <f>-(SUM(L48:L50)*($E$11))</f>
        <v>-1.05</v>
      </c>
      <c r="M51" s="275">
        <f>-(SUM(M48:M50)*($E$11))</f>
        <v>-1.26</v>
      </c>
      <c r="N51" s="276">
        <f>-(SUM(N48:N50)*($E$11))</f>
        <v>-5.25</v>
      </c>
      <c r="O51" s="112"/>
      <c r="P51" s="122" t="s">
        <v>198</v>
      </c>
      <c r="Q51" s="112"/>
      <c r="R51" s="312">
        <f>IF(OR((ISERROR($T$17/N39)),N39&lt;0),"NM",$T$17/N39)</f>
        <v>14.229991693989072</v>
      </c>
      <c r="S51" s="312">
        <f>IF(OR((ISERROR($T$17/E41)),E41&lt;0),"NM",$T$17/E41)</f>
        <v>8.4707884108065201</v>
      </c>
      <c r="T51" s="313">
        <f>IF(OR((ISERROR($T$17/E47)),E47&lt;0),"NM",$T$17/E47)</f>
        <v>8.2469525485886734</v>
      </c>
    </row>
    <row r="52" spans="1:20" ht="15.75" thickBot="1">
      <c r="A52" s="283" t="s">
        <v>199</v>
      </c>
      <c r="B52" s="112"/>
      <c r="C52" s="112"/>
      <c r="D52" s="290"/>
      <c r="E52" s="190">
        <f>AB12</f>
        <v>941.66814996631615</v>
      </c>
      <c r="F52" s="112"/>
      <c r="G52" s="164" t="s">
        <v>200</v>
      </c>
      <c r="H52" s="112"/>
      <c r="I52" s="165"/>
      <c r="J52" s="204">
        <f>SUM(J47:J51)</f>
        <v>172.75</v>
      </c>
      <c r="K52" s="204">
        <f>SUM(K47:K51)</f>
        <v>284.95999999999998</v>
      </c>
      <c r="L52" s="205">
        <f>SUM(L47:L51)</f>
        <v>34.950000000000003</v>
      </c>
      <c r="M52" s="206">
        <f>SUM(M47:M51)</f>
        <v>59.74</v>
      </c>
      <c r="N52" s="207">
        <f>SUM(N47:N51)</f>
        <v>309.75</v>
      </c>
      <c r="O52" s="112"/>
      <c r="P52" s="201" t="s">
        <v>56</v>
      </c>
      <c r="Q52" s="202"/>
      <c r="R52" s="317">
        <f>IF(OR((ISERROR($T$9/N57)),N57&lt;0),"NM",$T$9/N57)</f>
        <v>19.334947538337367</v>
      </c>
      <c r="S52" s="317">
        <f>IF(OR((ISERROR($T$9/E42)),E42&lt;0),"NM",$T$9/E42)</f>
        <v>22.746781115879827</v>
      </c>
      <c r="T52" s="318">
        <f>IF(OR((ISERROR($T$9/E48)),E48&lt;0),"NM",$T$9/E48)</f>
        <v>21.031746031746032</v>
      </c>
    </row>
    <row r="53" spans="1:20" ht="15.75" thickTop="1">
      <c r="A53" s="283" t="s">
        <v>201</v>
      </c>
      <c r="B53" s="112"/>
      <c r="C53" s="112"/>
      <c r="D53" s="293"/>
      <c r="E53" s="190">
        <f>AB13</f>
        <v>648.66814996631615</v>
      </c>
      <c r="F53" s="112"/>
      <c r="G53" s="252" t="s">
        <v>149</v>
      </c>
      <c r="H53" s="134"/>
      <c r="I53" s="253"/>
      <c r="J53" s="253">
        <f>IF(ISERROR(J52/J8),"NA",J52/J8)</f>
        <v>0.11455570291777188</v>
      </c>
      <c r="K53" s="253">
        <f>IF(ISERROR(K52/K8),"NA",K52/K8)</f>
        <v>0.16982121573301548</v>
      </c>
      <c r="L53" s="254">
        <f>IF(ISERROR(L52/L8),"NA",L52/L8)</f>
        <v>0.10072046109510087</v>
      </c>
      <c r="M53" s="255">
        <f>IF(ISERROR(M52/M8),"NA",M52/M8)</f>
        <v>0.14190023752969122</v>
      </c>
      <c r="N53" s="256">
        <f>IF(ISERROR(N52/N8),"NA",N52/N8)</f>
        <v>0.17679794520547945</v>
      </c>
      <c r="O53" s="112"/>
      <c r="P53" s="112"/>
      <c r="Q53" s="112"/>
      <c r="R53" s="112"/>
      <c r="S53" s="112"/>
      <c r="T53" s="112"/>
    </row>
    <row r="54" spans="1:20">
      <c r="A54" s="319" t="s">
        <v>202</v>
      </c>
      <c r="B54" s="202"/>
      <c r="C54" s="202"/>
      <c r="D54" s="320"/>
      <c r="E54" s="321">
        <v>2.73</v>
      </c>
      <c r="F54" s="112"/>
      <c r="G54" s="137"/>
      <c r="H54" s="112"/>
      <c r="I54" s="260"/>
      <c r="J54" s="260"/>
      <c r="K54" s="260"/>
      <c r="L54" s="261"/>
      <c r="M54" s="262"/>
      <c r="N54" s="263"/>
      <c r="O54" s="112"/>
      <c r="P54" s="116" t="s">
        <v>6</v>
      </c>
      <c r="Q54" s="117"/>
      <c r="R54" s="117"/>
      <c r="S54" s="117"/>
      <c r="T54" s="118"/>
    </row>
    <row r="55" spans="1:20">
      <c r="A55" s="122"/>
      <c r="B55" s="112"/>
      <c r="C55" s="112"/>
      <c r="D55" s="112"/>
      <c r="E55" s="185"/>
      <c r="F55" s="112"/>
      <c r="G55" s="137" t="s">
        <v>203</v>
      </c>
      <c r="H55" s="112"/>
      <c r="I55" s="186"/>
      <c r="J55" s="187">
        <v>0</v>
      </c>
      <c r="K55" s="187">
        <v>0</v>
      </c>
      <c r="L55" s="188">
        <v>0</v>
      </c>
      <c r="M55" s="189">
        <v>0</v>
      </c>
      <c r="N55" s="174">
        <f>+IF(ISERROR(K55+M55-L55),"NA",K55+M55-L55)</f>
        <v>0</v>
      </c>
      <c r="O55" s="322"/>
      <c r="P55" s="323" t="s">
        <v>204</v>
      </c>
      <c r="Q55" s="324"/>
      <c r="R55" s="325"/>
      <c r="S55" s="112"/>
      <c r="T55" s="326" t="s">
        <v>205</v>
      </c>
    </row>
    <row r="56" spans="1:20">
      <c r="A56" s="116" t="s">
        <v>206</v>
      </c>
      <c r="B56" s="117"/>
      <c r="C56" s="117"/>
      <c r="D56" s="117"/>
      <c r="E56" s="118"/>
      <c r="F56" s="112"/>
      <c r="G56" s="137" t="s">
        <v>207</v>
      </c>
      <c r="H56" s="112"/>
      <c r="I56" s="186"/>
      <c r="J56" s="187">
        <v>0</v>
      </c>
      <c r="K56" s="187">
        <v>0</v>
      </c>
      <c r="L56" s="188">
        <v>0</v>
      </c>
      <c r="M56" s="189">
        <v>0</v>
      </c>
      <c r="N56" s="174">
        <f>+IF(ISERROR(K56+M56-L56),"NA",K56+M56-L56)</f>
        <v>0</v>
      </c>
      <c r="O56" s="322"/>
      <c r="P56" s="168" t="s">
        <v>208</v>
      </c>
      <c r="Q56" s="112"/>
      <c r="R56" s="265">
        <v>33.130000000000003</v>
      </c>
      <c r="S56" s="112"/>
      <c r="T56" s="327">
        <f>IF(ISERROR($T$9/R56-1),"NA",$T$9/R56-1)</f>
        <v>0.59975852701479004</v>
      </c>
    </row>
    <row r="57" spans="1:20">
      <c r="A57" s="328"/>
      <c r="B57" s="329"/>
      <c r="C57" s="329"/>
      <c r="D57" s="329"/>
      <c r="E57" s="330"/>
      <c r="F57" s="112"/>
      <c r="G57" s="331" t="s">
        <v>209</v>
      </c>
      <c r="H57" s="112"/>
      <c r="I57" s="332"/>
      <c r="J57" s="333">
        <f>IF(ISERROR((J52+J55)/(J21+J56)),0,((J52+J55)/(J21+J56)))</f>
        <v>1.5704545454545455</v>
      </c>
      <c r="K57" s="333">
        <f>IF(ISERROR((K52+K55)/(K21+K56)),0,((K52+K55)/(K21+K56)))</f>
        <v>2.5672072072072072</v>
      </c>
      <c r="L57" s="334">
        <f>IF(ISERROR((L52+L55)/(L21+L56)),0,((L52+L55)/(L21+L56)))</f>
        <v>0.32064220183486242</v>
      </c>
      <c r="M57" s="335">
        <f>IF(ISERROR((M52+M55)/(M21+M56)),0,((M52+M55)/(M21+M56)))</f>
        <v>0.53819819819819825</v>
      </c>
      <c r="N57" s="336">
        <f>IF(ISERROR((N52+N55)/(N21+N56)),0,((N52+N55)/(N21+N56)))</f>
        <v>2.7411504424778763</v>
      </c>
      <c r="O57" s="322"/>
      <c r="P57" s="168"/>
      <c r="Q57" s="112"/>
      <c r="R57" s="112"/>
      <c r="S57" s="112"/>
      <c r="T57" s="327"/>
    </row>
    <row r="58" spans="1:20">
      <c r="A58" s="122"/>
      <c r="B58" s="112"/>
      <c r="C58" s="337" t="s">
        <v>33</v>
      </c>
      <c r="D58" s="337" t="s">
        <v>14</v>
      </c>
      <c r="E58" s="338" t="s">
        <v>35</v>
      </c>
      <c r="F58" s="112"/>
      <c r="G58" s="137"/>
      <c r="H58" s="112"/>
      <c r="I58" s="112"/>
      <c r="J58" s="112"/>
      <c r="K58" s="112"/>
      <c r="L58" s="112"/>
      <c r="M58" s="112"/>
      <c r="N58" s="127"/>
      <c r="O58" s="322"/>
      <c r="P58" s="339" t="s">
        <v>210</v>
      </c>
      <c r="Q58" s="201"/>
      <c r="R58" s="202"/>
      <c r="S58" s="112"/>
      <c r="T58" s="327"/>
    </row>
    <row r="59" spans="1:20">
      <c r="A59" s="340" t="s">
        <v>211</v>
      </c>
      <c r="B59" s="112"/>
      <c r="C59" s="112"/>
      <c r="D59" s="112"/>
      <c r="E59" s="185"/>
      <c r="F59" s="112"/>
      <c r="G59" s="341" t="s">
        <v>212</v>
      </c>
      <c r="H59" s="342"/>
      <c r="I59" s="342"/>
      <c r="J59" s="342"/>
      <c r="K59" s="342"/>
      <c r="L59" s="342"/>
      <c r="M59" s="342"/>
      <c r="N59" s="343"/>
      <c r="O59" s="322"/>
      <c r="P59" s="46" t="s">
        <v>208</v>
      </c>
      <c r="Q59" s="112"/>
      <c r="R59" s="265">
        <v>0</v>
      </c>
      <c r="S59" s="112"/>
      <c r="T59" s="327" t="str">
        <f>IF(ISERROR($T$9/R59-1),"NA",$T$9/R59-1)</f>
        <v>NA</v>
      </c>
    </row>
    <row r="60" spans="1:20">
      <c r="A60" s="122" t="s">
        <v>213</v>
      </c>
      <c r="B60" s="112"/>
      <c r="C60" s="344">
        <f>IF(ISERROR(K8/J8-1),0,K8/J8-1)</f>
        <v>0.11273209549071628</v>
      </c>
      <c r="D60" s="344">
        <f>IF(ISERROR(K44/J44-1),0,K44/J44-1)</f>
        <v>0.3614718614718615</v>
      </c>
      <c r="E60" s="345">
        <f>IF(ISERROR(K57/J57-1),0,K57/J57-1)</f>
        <v>0.63469055162253407</v>
      </c>
      <c r="F60" s="112"/>
      <c r="G60" s="456"/>
      <c r="H60" s="457"/>
      <c r="I60" s="457"/>
      <c r="J60" s="457"/>
      <c r="K60" s="457"/>
      <c r="L60" s="457"/>
      <c r="M60" s="457"/>
      <c r="N60" s="458"/>
      <c r="O60" s="112"/>
      <c r="P60" s="122" t="s">
        <v>214</v>
      </c>
      <c r="Q60" s="329"/>
      <c r="R60" s="265">
        <v>0</v>
      </c>
      <c r="S60" s="112"/>
      <c r="T60" s="327" t="str">
        <f>IF(ISERROR($T$9/R60-1),"NA",$T$9/R60-1)</f>
        <v>NA</v>
      </c>
    </row>
    <row r="61" spans="1:20">
      <c r="A61" s="122"/>
      <c r="B61" s="112"/>
      <c r="C61" s="344"/>
      <c r="D61" s="344"/>
      <c r="E61" s="345"/>
      <c r="F61" s="112"/>
      <c r="G61" s="459"/>
      <c r="H61" s="445"/>
      <c r="I61" s="445"/>
      <c r="J61" s="445"/>
      <c r="K61" s="445"/>
      <c r="L61" s="445"/>
      <c r="M61" s="445"/>
      <c r="N61" s="446"/>
      <c r="O61" s="112"/>
      <c r="P61" s="201" t="s">
        <v>215</v>
      </c>
      <c r="Q61" s="202"/>
      <c r="R61" s="346">
        <v>0</v>
      </c>
      <c r="S61" s="202"/>
      <c r="T61" s="347" t="str">
        <f>IF(ISERROR($T$9/R61-1),"NA",$T$9/R61-1)</f>
        <v>NA</v>
      </c>
    </row>
    <row r="62" spans="1:20">
      <c r="A62" s="340" t="s">
        <v>216</v>
      </c>
      <c r="B62" s="112"/>
      <c r="C62" s="344"/>
      <c r="D62" s="344"/>
      <c r="E62" s="345"/>
      <c r="F62" s="112"/>
      <c r="G62" s="459"/>
      <c r="H62" s="445"/>
      <c r="I62" s="445"/>
      <c r="J62" s="445"/>
      <c r="K62" s="445"/>
      <c r="L62" s="445"/>
      <c r="M62" s="445"/>
      <c r="N62" s="446"/>
      <c r="O62" s="112"/>
      <c r="P62" s="112"/>
      <c r="Q62" s="112"/>
      <c r="R62" s="112"/>
      <c r="S62" s="112"/>
      <c r="T62" s="112"/>
    </row>
    <row r="63" spans="1:20">
      <c r="A63" s="122" t="s">
        <v>213</v>
      </c>
      <c r="B63" s="112"/>
      <c r="C63" s="344">
        <f>IF(ISERROR(E39/K8-1),0,E39/K8-1)</f>
        <v>2.714164546225617E-2</v>
      </c>
      <c r="D63" s="344">
        <f>IF(ISERROR(E40/K44-1),0,E40/K44-1)</f>
        <v>0.44330635080522773</v>
      </c>
      <c r="E63" s="345">
        <f>IF(ISERROR(E42/K57-1),0,E42/K57-1)</f>
        <v>-9.2398933183604703E-2</v>
      </c>
      <c r="F63" s="112"/>
      <c r="G63" s="444"/>
      <c r="H63" s="445"/>
      <c r="I63" s="445"/>
      <c r="J63" s="445"/>
      <c r="K63" s="445"/>
      <c r="L63" s="445"/>
      <c r="M63" s="445"/>
      <c r="N63" s="446"/>
      <c r="O63" s="112"/>
      <c r="P63" s="112"/>
      <c r="Q63" s="112"/>
      <c r="R63" s="112"/>
      <c r="S63" s="112"/>
      <c r="T63" s="112"/>
    </row>
    <row r="64" spans="1:20" ht="15.75" thickBot="1">
      <c r="A64" s="201" t="s">
        <v>217</v>
      </c>
      <c r="B64" s="202"/>
      <c r="C64" s="348">
        <f>IF(ISERROR((E45/K8)^(1/2)-1),0,(E45/K8)^(1/2)-1)</f>
        <v>2.714164546225617E-2</v>
      </c>
      <c r="D64" s="348">
        <f>IF(ISERROR((E46/K44)^(1/2)-1),0,(E46/K44)^(1/2)-1)</f>
        <v>0.21236833200160121</v>
      </c>
      <c r="E64" s="349">
        <f>IF(ISERROR((E48/K57)^(1/2)-1),0,(E48/K57)^(1/2)-1)</f>
        <v>-9.2369333492535732E-3</v>
      </c>
      <c r="F64" s="112"/>
      <c r="G64" s="447"/>
      <c r="H64" s="448"/>
      <c r="I64" s="448"/>
      <c r="J64" s="448"/>
      <c r="K64" s="448"/>
      <c r="L64" s="448"/>
      <c r="M64" s="448"/>
      <c r="N64" s="449"/>
      <c r="O64" s="112"/>
      <c r="P64" s="112"/>
      <c r="Q64" s="112"/>
      <c r="R64" s="112"/>
      <c r="S64" s="112"/>
      <c r="T64" s="112"/>
    </row>
    <row r="65" spans="1:20">
      <c r="A65" s="112"/>
      <c r="B65" s="112"/>
      <c r="C65" s="112"/>
      <c r="D65" s="112"/>
      <c r="E65" s="112"/>
      <c r="F65" s="112"/>
      <c r="G65" s="112"/>
      <c r="H65" s="112"/>
      <c r="I65" s="112"/>
      <c r="J65" s="112"/>
      <c r="K65" s="112"/>
      <c r="L65" s="112"/>
      <c r="M65" s="112"/>
      <c r="N65" s="112"/>
      <c r="O65" s="112"/>
      <c r="P65" s="112"/>
      <c r="Q65" s="112"/>
      <c r="R65" s="112"/>
      <c r="S65" s="112"/>
      <c r="T65" s="112"/>
    </row>
    <row r="66" spans="1:20">
      <c r="A66" s="350" t="s">
        <v>218</v>
      </c>
      <c r="B66" s="351"/>
      <c r="C66" s="351"/>
      <c r="D66" s="352" t="s">
        <v>219</v>
      </c>
      <c r="E66" s="353" t="s">
        <v>220</v>
      </c>
      <c r="F66" s="112"/>
      <c r="G66" s="116" t="s">
        <v>221</v>
      </c>
      <c r="H66" s="117"/>
      <c r="I66" s="117"/>
      <c r="J66" s="117"/>
      <c r="K66" s="117"/>
      <c r="L66" s="117"/>
      <c r="M66" s="117"/>
      <c r="N66" s="118"/>
      <c r="O66" s="112"/>
      <c r="P66" s="112"/>
      <c r="Q66" s="112"/>
      <c r="R66" s="112"/>
      <c r="S66" s="112"/>
      <c r="T66" s="112"/>
    </row>
    <row r="67" spans="1:20">
      <c r="A67" s="354"/>
      <c r="E67" s="136"/>
      <c r="F67" s="112"/>
      <c r="G67" s="122"/>
      <c r="H67" s="112"/>
      <c r="I67" s="125"/>
      <c r="J67" s="125"/>
      <c r="K67" s="112"/>
      <c r="L67" s="126" t="s">
        <v>83</v>
      </c>
      <c r="M67" s="126" t="s">
        <v>84</v>
      </c>
      <c r="N67" s="185"/>
      <c r="O67" s="112"/>
      <c r="P67" s="112"/>
      <c r="Q67" s="112"/>
      <c r="R67" s="112"/>
      <c r="S67" s="112"/>
      <c r="T67" s="112"/>
    </row>
    <row r="68" spans="1:20">
      <c r="A68" s="354"/>
      <c r="D68" s="355"/>
      <c r="E68" s="136"/>
      <c r="F68" s="112"/>
      <c r="G68" s="122"/>
      <c r="H68" s="112"/>
      <c r="I68" s="234"/>
      <c r="J68" s="132" t="str">
        <f>"FYE "&amp;TEXT($E$8,"mmmm d")&amp;","</f>
        <v>FYE December 31,</v>
      </c>
      <c r="K68" s="132"/>
      <c r="L68" s="126" t="s">
        <v>87</v>
      </c>
      <c r="M68" s="126" t="s">
        <v>87</v>
      </c>
      <c r="N68" s="251" t="s">
        <v>17</v>
      </c>
      <c r="O68" s="112"/>
      <c r="P68" s="112"/>
      <c r="Q68" s="112"/>
      <c r="R68" s="112"/>
      <c r="S68" s="112"/>
      <c r="T68" s="112"/>
    </row>
    <row r="69" spans="1:20">
      <c r="A69" s="354"/>
      <c r="D69" s="355"/>
      <c r="E69" s="136"/>
      <c r="F69" s="112"/>
      <c r="G69" s="356"/>
      <c r="H69" s="113"/>
      <c r="I69" s="139"/>
      <c r="J69" s="140">
        <f>+J27</f>
        <v>44561</v>
      </c>
      <c r="K69" s="140">
        <f>+K27</f>
        <v>44926</v>
      </c>
      <c r="L69" s="141">
        <f>+L27</f>
        <v>44286</v>
      </c>
      <c r="M69" s="142">
        <f>+M27</f>
        <v>44651</v>
      </c>
      <c r="N69" s="259">
        <f>+N27</f>
        <v>44651</v>
      </c>
      <c r="O69" s="112"/>
      <c r="P69" s="112"/>
      <c r="Q69" s="112"/>
      <c r="R69" s="112"/>
      <c r="S69" s="112"/>
      <c r="T69" s="112"/>
    </row>
    <row r="70" spans="1:20">
      <c r="E70" s="239"/>
      <c r="F70" s="112"/>
      <c r="G70" s="122" t="s">
        <v>182</v>
      </c>
      <c r="H70" s="112"/>
      <c r="I70" s="186"/>
      <c r="J70" s="187">
        <v>271</v>
      </c>
      <c r="K70" s="187">
        <v>293</v>
      </c>
      <c r="L70" s="188">
        <f>57+0.5</f>
        <v>57.5</v>
      </c>
      <c r="M70" s="189">
        <f>64+0.5</f>
        <v>64.5</v>
      </c>
      <c r="N70" s="357">
        <f>K70+M70-L70</f>
        <v>300</v>
      </c>
      <c r="O70" s="112"/>
      <c r="P70" s="112"/>
      <c r="Q70" s="112"/>
      <c r="R70" s="112"/>
      <c r="S70" s="112"/>
      <c r="T70" s="112"/>
    </row>
    <row r="71" spans="1:20">
      <c r="E71" s="239"/>
      <c r="F71" s="112"/>
      <c r="G71" s="201" t="s">
        <v>161</v>
      </c>
      <c r="H71" s="202"/>
      <c r="I71" s="358"/>
      <c r="J71" s="191">
        <v>25</v>
      </c>
      <c r="K71" s="191">
        <v>24</v>
      </c>
      <c r="L71" s="192">
        <v>5</v>
      </c>
      <c r="M71" s="193">
        <v>6</v>
      </c>
      <c r="N71" s="359">
        <f>K71+M71-L71</f>
        <v>25</v>
      </c>
      <c r="O71" s="246"/>
      <c r="P71" s="112"/>
      <c r="Q71" s="112"/>
      <c r="R71" s="112"/>
      <c r="S71" s="112"/>
      <c r="T71" s="112"/>
    </row>
    <row r="72" spans="1:20">
      <c r="E72" s="239"/>
      <c r="F72" s="112"/>
      <c r="G72" s="351"/>
      <c r="H72" s="351"/>
      <c r="I72" s="360"/>
      <c r="J72" s="360"/>
      <c r="K72" s="360"/>
      <c r="L72" s="360"/>
      <c r="M72" s="360"/>
      <c r="N72" s="361"/>
      <c r="O72" s="112"/>
      <c r="P72" s="112"/>
      <c r="Q72" s="112"/>
      <c r="R72" s="112"/>
      <c r="S72" s="112"/>
      <c r="T72" s="112"/>
    </row>
    <row r="73" spans="1:20">
      <c r="A73" s="362"/>
      <c r="B73" s="362"/>
      <c r="C73" s="362"/>
      <c r="D73" s="202"/>
      <c r="E73" s="169"/>
      <c r="F73" s="112"/>
      <c r="G73" s="134"/>
      <c r="H73" s="134"/>
      <c r="I73" s="363"/>
      <c r="J73" s="363"/>
      <c r="K73" s="363"/>
      <c r="L73" s="363"/>
      <c r="M73" s="363"/>
      <c r="N73" s="363"/>
      <c r="O73" s="112"/>
      <c r="P73" s="112"/>
      <c r="Q73" s="112"/>
      <c r="R73" s="112"/>
      <c r="S73" s="112"/>
      <c r="T73" s="112"/>
    </row>
  </sheetData>
  <mergeCells count="6">
    <mergeCell ref="G63:N64"/>
    <mergeCell ref="P2:T2"/>
    <mergeCell ref="A18:E21"/>
    <mergeCell ref="A24:E27"/>
    <mergeCell ref="A30:E35"/>
    <mergeCell ref="G60:N6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D36A7-149D-4762-8BE5-5A0A1B661FA8}">
  <dimension ref="A1:V73"/>
  <sheetViews>
    <sheetView showGridLines="0" topLeftCell="A39" workbookViewId="0">
      <selection activeCell="R63" sqref="R63"/>
    </sheetView>
  </sheetViews>
  <sheetFormatPr defaultRowHeight="15"/>
  <cols>
    <col min="5" max="5" width="17.5703125" bestFit="1" customWidth="1"/>
    <col min="7" max="7" width="15.5703125" customWidth="1"/>
    <col min="12" max="13" width="10.42578125" bestFit="1" customWidth="1"/>
    <col min="16" max="16" width="20.7109375" customWidth="1"/>
    <col min="17" max="17" width="10.140625" customWidth="1"/>
    <col min="18" max="18" width="9.7109375" customWidth="1"/>
    <col min="19" max="19" width="11.85546875" customWidth="1"/>
    <col min="20" max="20" width="12.28515625" bestFit="1" customWidth="1"/>
    <col min="21" max="22" width="11.85546875" bestFit="1" customWidth="1"/>
  </cols>
  <sheetData>
    <row r="1" spans="1:22" ht="20.25">
      <c r="A1" s="111" t="str">
        <f>"Acquisition of "&amp;E5&amp;" by "&amp;E6</f>
        <v>Acquisition of Maxim Integrated by Analog Devices Inc.</v>
      </c>
      <c r="B1" s="112"/>
      <c r="C1" s="112"/>
      <c r="D1" s="112"/>
      <c r="E1" s="112"/>
      <c r="F1" s="112"/>
      <c r="G1" s="112"/>
      <c r="H1" s="112"/>
      <c r="I1" s="112"/>
      <c r="J1" s="112"/>
      <c r="K1" s="112"/>
      <c r="L1" s="112"/>
      <c r="M1" s="112"/>
      <c r="N1" s="112"/>
      <c r="O1" s="112"/>
      <c r="P1" s="113"/>
      <c r="Q1" s="113"/>
      <c r="R1" s="113"/>
      <c r="S1" s="113"/>
      <c r="T1" s="113"/>
    </row>
    <row r="2" spans="1:22">
      <c r="A2" s="114" t="str">
        <f>E9&amp;" in millions, except per share data"</f>
        <v>USD in millions, except per share data</v>
      </c>
      <c r="B2" s="112"/>
      <c r="C2" s="112"/>
      <c r="D2" s="112"/>
      <c r="E2" s="112"/>
      <c r="F2" s="112"/>
      <c r="G2" s="112"/>
      <c r="H2" s="112"/>
      <c r="I2" s="112"/>
      <c r="J2" s="112"/>
      <c r="K2" s="112"/>
      <c r="L2" s="112"/>
      <c r="M2" s="112"/>
      <c r="N2" s="112"/>
      <c r="O2" s="112"/>
      <c r="P2" s="450"/>
      <c r="Q2" s="450"/>
      <c r="R2" s="450"/>
      <c r="S2" s="450"/>
      <c r="T2" s="450"/>
    </row>
    <row r="3" spans="1:22" ht="15.75" thickBot="1">
      <c r="A3" s="112"/>
      <c r="B3" s="112"/>
      <c r="C3" s="112"/>
      <c r="D3" s="112"/>
      <c r="E3" s="112"/>
      <c r="F3" s="112"/>
      <c r="G3" s="112"/>
      <c r="H3" s="112"/>
      <c r="I3" s="112"/>
      <c r="J3" s="112"/>
      <c r="K3" s="112"/>
      <c r="L3" s="112"/>
      <c r="M3" s="112"/>
      <c r="N3" s="112"/>
      <c r="O3" s="112"/>
      <c r="P3" s="112"/>
      <c r="Q3" s="112"/>
      <c r="R3" s="112"/>
      <c r="S3" s="115"/>
      <c r="T3" s="112"/>
    </row>
    <row r="4" spans="1:22">
      <c r="A4" s="116" t="s">
        <v>80</v>
      </c>
      <c r="B4" s="117"/>
      <c r="C4" s="117"/>
      <c r="D4" s="117"/>
      <c r="E4" s="118"/>
      <c r="F4" s="112"/>
      <c r="G4" s="119" t="s">
        <v>81</v>
      </c>
      <c r="H4" s="120"/>
      <c r="I4" s="120"/>
      <c r="J4" s="120"/>
      <c r="K4" s="120"/>
      <c r="L4" s="120"/>
      <c r="M4" s="120"/>
      <c r="N4" s="121"/>
      <c r="O4" s="112"/>
      <c r="P4" s="116" t="s">
        <v>82</v>
      </c>
      <c r="Q4" s="117"/>
      <c r="R4" s="117"/>
      <c r="S4" s="117"/>
      <c r="T4" s="118"/>
    </row>
    <row r="5" spans="1:22">
      <c r="A5" s="122" t="s">
        <v>23</v>
      </c>
      <c r="B5" s="112"/>
      <c r="C5" s="112"/>
      <c r="D5" s="123"/>
      <c r="E5" s="364" t="s">
        <v>39</v>
      </c>
      <c r="F5" s="112"/>
      <c r="G5" s="124"/>
      <c r="H5" s="125"/>
      <c r="I5" s="125"/>
      <c r="J5" s="125"/>
      <c r="K5" s="112"/>
      <c r="L5" s="126" t="s">
        <v>83</v>
      </c>
      <c r="M5" s="126" t="s">
        <v>84</v>
      </c>
      <c r="N5" s="127"/>
      <c r="O5" s="112"/>
      <c r="P5" s="122" t="s">
        <v>85</v>
      </c>
      <c r="Q5" s="112"/>
      <c r="R5" s="112"/>
      <c r="S5" s="128"/>
      <c r="T5" s="129">
        <v>0</v>
      </c>
    </row>
    <row r="6" spans="1:22">
      <c r="A6" s="122" t="s">
        <v>24</v>
      </c>
      <c r="B6" s="112"/>
      <c r="C6" s="112"/>
      <c r="D6" s="123"/>
      <c r="E6" s="365" t="s">
        <v>239</v>
      </c>
      <c r="F6" s="112"/>
      <c r="G6" s="130"/>
      <c r="H6" s="125"/>
      <c r="I6" s="131"/>
      <c r="J6" s="132" t="str">
        <f>"FYE "&amp;TEXT($E$8,"mmmm d")&amp;","</f>
        <v>FYE June 26,</v>
      </c>
      <c r="K6" s="132"/>
      <c r="L6" s="126" t="s">
        <v>87</v>
      </c>
      <c r="M6" s="126" t="s">
        <v>87</v>
      </c>
      <c r="N6" s="133" t="s">
        <v>17</v>
      </c>
      <c r="O6" s="112"/>
      <c r="P6" s="122" t="s">
        <v>88</v>
      </c>
      <c r="Q6" s="134"/>
      <c r="R6" s="134"/>
      <c r="S6" s="134"/>
      <c r="T6" s="135">
        <f>+S7*S8</f>
        <v>73.634399999999999</v>
      </c>
    </row>
    <row r="7" spans="1:22">
      <c r="A7" s="122" t="s">
        <v>89</v>
      </c>
      <c r="B7" s="112"/>
      <c r="C7" s="112"/>
      <c r="D7" s="123"/>
      <c r="E7" s="366">
        <v>44024</v>
      </c>
      <c r="F7" s="112"/>
      <c r="G7" s="137"/>
      <c r="H7" s="138"/>
      <c r="I7" s="139"/>
      <c r="J7" s="140">
        <f>E8-365</f>
        <v>44008</v>
      </c>
      <c r="K7" s="140">
        <f>E8</f>
        <v>44373</v>
      </c>
      <c r="L7" s="141">
        <f>+M7-364</f>
        <v>44009</v>
      </c>
      <c r="M7" s="142">
        <v>44373</v>
      </c>
      <c r="N7" s="143">
        <f>+M7</f>
        <v>44373</v>
      </c>
      <c r="O7" s="112"/>
      <c r="P7" s="46" t="s">
        <v>90</v>
      </c>
      <c r="Q7" s="112"/>
      <c r="R7" s="112"/>
      <c r="S7" s="144">
        <v>0.63</v>
      </c>
      <c r="T7" s="145"/>
    </row>
    <row r="8" spans="1:22">
      <c r="A8" s="122" t="s">
        <v>91</v>
      </c>
      <c r="B8" s="112"/>
      <c r="C8" s="112"/>
      <c r="D8" s="146"/>
      <c r="E8" s="366">
        <v>44373</v>
      </c>
      <c r="F8" s="112"/>
      <c r="G8" s="147" t="s">
        <v>92</v>
      </c>
      <c r="H8" s="148"/>
      <c r="I8" s="149"/>
      <c r="J8" s="150">
        <v>2191</v>
      </c>
      <c r="K8" s="150">
        <v>2633</v>
      </c>
      <c r="L8" s="151">
        <v>545</v>
      </c>
      <c r="M8" s="152">
        <v>720</v>
      </c>
      <c r="N8" s="153">
        <f>K8+M8-L8</f>
        <v>2808</v>
      </c>
      <c r="O8" s="112"/>
      <c r="P8" s="46" t="s">
        <v>93</v>
      </c>
      <c r="Q8" s="112"/>
      <c r="R8" s="112"/>
      <c r="S8" s="154">
        <v>116.88</v>
      </c>
      <c r="T8" s="145"/>
    </row>
    <row r="9" spans="1:22">
      <c r="A9" s="122" t="s">
        <v>94</v>
      </c>
      <c r="B9" s="112"/>
      <c r="C9" s="112"/>
      <c r="D9" s="112"/>
      <c r="E9" s="365" t="s">
        <v>95</v>
      </c>
      <c r="F9" s="112"/>
      <c r="G9" s="155" t="s">
        <v>96</v>
      </c>
      <c r="H9" s="112"/>
      <c r="I9" s="156"/>
      <c r="J9" s="157">
        <v>758</v>
      </c>
      <c r="K9" s="157">
        <v>872</v>
      </c>
      <c r="L9" s="158">
        <v>183</v>
      </c>
      <c r="M9" s="159">
        <v>236</v>
      </c>
      <c r="N9" s="160">
        <f>K9+M9-L9</f>
        <v>925</v>
      </c>
      <c r="O9" s="161"/>
      <c r="P9" s="162" t="s">
        <v>97</v>
      </c>
      <c r="Q9" s="148"/>
      <c r="R9" s="148"/>
      <c r="S9" s="148"/>
      <c r="T9" s="163">
        <f>+T5+T6</f>
        <v>73.634399999999999</v>
      </c>
    </row>
    <row r="10" spans="1:22">
      <c r="A10" s="112" t="s">
        <v>98</v>
      </c>
      <c r="B10" s="112"/>
      <c r="C10" s="112"/>
      <c r="D10" s="112"/>
      <c r="E10" s="365" t="s">
        <v>99</v>
      </c>
      <c r="F10" s="112"/>
      <c r="G10" s="164" t="s">
        <v>100</v>
      </c>
      <c r="H10" s="112"/>
      <c r="I10" s="165"/>
      <c r="J10" s="165">
        <f>+J8-J9</f>
        <v>1433</v>
      </c>
      <c r="K10" s="165">
        <f>+K8-K9</f>
        <v>1761</v>
      </c>
      <c r="L10" s="166">
        <f>+L8-L9</f>
        <v>362</v>
      </c>
      <c r="M10" s="167">
        <f>+M8-M9</f>
        <v>484</v>
      </c>
      <c r="N10" s="153">
        <f>+N8-N9</f>
        <v>1883</v>
      </c>
      <c r="O10" s="112"/>
      <c r="P10" s="168" t="s">
        <v>101</v>
      </c>
      <c r="Q10" s="112"/>
      <c r="R10" s="112"/>
      <c r="S10" s="112"/>
      <c r="T10" s="169">
        <f>+T27</f>
        <v>271.55</v>
      </c>
    </row>
    <row r="11" spans="1:22">
      <c r="A11" s="122" t="s">
        <v>102</v>
      </c>
      <c r="B11" s="112"/>
      <c r="C11" s="112"/>
      <c r="D11" s="112"/>
      <c r="E11" s="372">
        <v>0.21</v>
      </c>
      <c r="F11" s="112"/>
      <c r="G11" s="155" t="s">
        <v>103</v>
      </c>
      <c r="H11" s="170"/>
      <c r="I11" s="156"/>
      <c r="J11" s="171">
        <v>746</v>
      </c>
      <c r="K11" s="157">
        <v>815</v>
      </c>
      <c r="L11" s="172">
        <v>184</v>
      </c>
      <c r="M11" s="173">
        <v>201</v>
      </c>
      <c r="N11" s="174">
        <f>K11+M11-L11</f>
        <v>832</v>
      </c>
      <c r="O11" s="112"/>
      <c r="P11" s="175" t="s">
        <v>104</v>
      </c>
      <c r="Q11" s="112"/>
      <c r="R11" s="112"/>
      <c r="S11" s="112"/>
      <c r="T11" s="176">
        <f>+T10*T9</f>
        <v>19995.421320000001</v>
      </c>
    </row>
    <row r="12" spans="1:22">
      <c r="A12" s="177" t="s">
        <v>105</v>
      </c>
      <c r="B12" s="178"/>
      <c r="C12" s="178"/>
      <c r="D12" s="179"/>
      <c r="E12" s="180" t="s">
        <v>106</v>
      </c>
      <c r="F12" s="112"/>
      <c r="G12" s="164" t="s">
        <v>107</v>
      </c>
      <c r="H12" s="170"/>
      <c r="I12" s="165"/>
      <c r="J12" s="181">
        <f>J10-J11</f>
        <v>687</v>
      </c>
      <c r="K12" s="181">
        <f>K10-K11</f>
        <v>946</v>
      </c>
      <c r="L12" s="182">
        <f>L10-L11</f>
        <v>178</v>
      </c>
      <c r="M12" s="183">
        <f>M10-M11</f>
        <v>283</v>
      </c>
      <c r="N12" s="184">
        <f>N10-N11</f>
        <v>1051</v>
      </c>
      <c r="O12" s="112"/>
      <c r="P12" s="122"/>
      <c r="Q12" s="112"/>
      <c r="R12" s="112"/>
      <c r="S12" s="112"/>
      <c r="T12" s="185"/>
    </row>
    <row r="13" spans="1:22">
      <c r="A13" s="112" t="s">
        <v>108</v>
      </c>
      <c r="B13" s="112"/>
      <c r="C13" s="112"/>
      <c r="D13" s="112"/>
      <c r="E13" s="368" t="s">
        <v>109</v>
      </c>
      <c r="F13" s="112"/>
      <c r="G13" s="155" t="s">
        <v>110</v>
      </c>
      <c r="H13" s="170"/>
      <c r="I13" s="186"/>
      <c r="J13" s="187">
        <v>8</v>
      </c>
      <c r="K13" s="187">
        <v>16</v>
      </c>
      <c r="L13" s="188">
        <v>8</v>
      </c>
      <c r="M13" s="189">
        <v>6</v>
      </c>
      <c r="N13" s="174">
        <f>K13+M13-L13</f>
        <v>14</v>
      </c>
      <c r="O13" s="112"/>
      <c r="P13" s="168" t="s">
        <v>111</v>
      </c>
      <c r="Q13" s="112"/>
      <c r="R13" s="112"/>
      <c r="S13" s="186"/>
      <c r="T13" s="190">
        <v>1736</v>
      </c>
      <c r="U13">
        <v>995</v>
      </c>
      <c r="V13" s="375">
        <v>1736</v>
      </c>
    </row>
    <row r="14" spans="1:22">
      <c r="A14" s="112" t="s">
        <v>112</v>
      </c>
      <c r="B14" s="112"/>
      <c r="C14" s="112"/>
      <c r="D14" s="112"/>
      <c r="E14" s="368">
        <v>1</v>
      </c>
      <c r="F14" s="112"/>
      <c r="G14" s="155" t="s">
        <v>113</v>
      </c>
      <c r="H14" s="170"/>
      <c r="I14" s="186"/>
      <c r="J14" s="191">
        <v>0</v>
      </c>
      <c r="K14" s="191">
        <v>0</v>
      </c>
      <c r="L14" s="192">
        <v>0</v>
      </c>
      <c r="M14" s="193">
        <v>0</v>
      </c>
      <c r="N14" s="160">
        <f>K14+M14-L14</f>
        <v>0</v>
      </c>
      <c r="O14" s="112"/>
      <c r="P14" s="168" t="s">
        <v>114</v>
      </c>
      <c r="Q14" s="112"/>
      <c r="R14" s="112"/>
      <c r="S14" s="112"/>
      <c r="T14" s="190">
        <v>0</v>
      </c>
    </row>
    <row r="15" spans="1:22">
      <c r="A15" s="112" t="s">
        <v>115</v>
      </c>
      <c r="B15" s="112"/>
      <c r="C15" s="112"/>
      <c r="D15" s="112"/>
      <c r="E15" s="371">
        <v>275</v>
      </c>
      <c r="F15" s="112"/>
      <c r="G15" s="164" t="s">
        <v>116</v>
      </c>
      <c r="H15" s="112"/>
      <c r="I15" s="165"/>
      <c r="J15" s="165">
        <f>J12-SUM(J13:J14)</f>
        <v>679</v>
      </c>
      <c r="K15" s="165">
        <f>K12-SUM(K13:K14)</f>
        <v>930</v>
      </c>
      <c r="L15" s="166">
        <f>L12-SUM(L13:L14)</f>
        <v>170</v>
      </c>
      <c r="M15" s="167">
        <f>M12-SUM(M13:M14)</f>
        <v>277</v>
      </c>
      <c r="N15" s="153">
        <f>N12-SUM(N13:N14)</f>
        <v>1037</v>
      </c>
      <c r="O15" s="112"/>
      <c r="P15" s="168" t="s">
        <v>117</v>
      </c>
      <c r="Q15" s="112"/>
      <c r="R15" s="112"/>
      <c r="S15" s="112"/>
      <c r="T15" s="190">
        <v>0</v>
      </c>
    </row>
    <row r="16" spans="1:22">
      <c r="A16" s="112"/>
      <c r="B16" s="112"/>
      <c r="C16" s="112"/>
      <c r="D16" s="112"/>
      <c r="E16" s="185"/>
      <c r="F16" s="112"/>
      <c r="G16" s="194" t="s">
        <v>118</v>
      </c>
      <c r="H16" s="112"/>
      <c r="I16" s="186"/>
      <c r="J16" s="187">
        <v>23</v>
      </c>
      <c r="K16" s="187">
        <v>102</v>
      </c>
      <c r="L16" s="188">
        <v>-38</v>
      </c>
      <c r="M16" s="189">
        <v>24</v>
      </c>
      <c r="N16" s="174">
        <f>K16+M16-L16</f>
        <v>164</v>
      </c>
      <c r="O16" s="112"/>
      <c r="P16" s="168" t="s">
        <v>119</v>
      </c>
      <c r="Q16" s="112"/>
      <c r="R16" s="112"/>
      <c r="S16" s="112"/>
      <c r="T16" s="190">
        <v>-2300</v>
      </c>
    </row>
    <row r="17" spans="1:22">
      <c r="A17" s="195" t="s">
        <v>120</v>
      </c>
      <c r="B17" s="196"/>
      <c r="C17" s="196"/>
      <c r="D17" s="197"/>
      <c r="E17" s="198"/>
      <c r="F17" s="112"/>
      <c r="G17" s="194" t="s">
        <v>121</v>
      </c>
      <c r="H17" s="112"/>
      <c r="I17" s="186"/>
      <c r="J17" s="187">
        <v>0</v>
      </c>
      <c r="K17" s="187">
        <v>0</v>
      </c>
      <c r="L17" s="188">
        <v>0</v>
      </c>
      <c r="M17" s="189">
        <v>0</v>
      </c>
      <c r="N17" s="199">
        <f>K17+M17-L17</f>
        <v>0</v>
      </c>
      <c r="O17" s="112"/>
      <c r="P17" s="175" t="s">
        <v>122</v>
      </c>
      <c r="Q17" s="112"/>
      <c r="R17" s="112"/>
      <c r="S17" s="112"/>
      <c r="T17" s="200">
        <f>SUM(T11:T16)</f>
        <v>19431.421320000001</v>
      </c>
    </row>
    <row r="18" spans="1:22">
      <c r="A18" s="451" t="s">
        <v>240</v>
      </c>
      <c r="B18" s="445"/>
      <c r="C18" s="445"/>
      <c r="D18" s="445"/>
      <c r="E18" s="452"/>
      <c r="F18" s="112"/>
      <c r="G18" s="194" t="s">
        <v>124</v>
      </c>
      <c r="H18" s="112"/>
      <c r="I18" s="186"/>
      <c r="J18" s="191">
        <v>0</v>
      </c>
      <c r="K18" s="191">
        <v>0</v>
      </c>
      <c r="L18" s="192">
        <v>0</v>
      </c>
      <c r="M18" s="193">
        <v>0</v>
      </c>
      <c r="N18" s="199">
        <f>K18+M18-L18</f>
        <v>0</v>
      </c>
      <c r="O18" s="112"/>
      <c r="P18" s="201"/>
      <c r="Q18" s="202"/>
      <c r="R18" s="202"/>
      <c r="S18" s="202"/>
      <c r="T18" s="203"/>
    </row>
    <row r="19" spans="1:22" ht="14.25" customHeight="1" thickBot="1">
      <c r="A19" s="445"/>
      <c r="B19" s="445"/>
      <c r="C19" s="445"/>
      <c r="D19" s="445"/>
      <c r="E19" s="452"/>
      <c r="F19" s="112"/>
      <c r="G19" s="164" t="s">
        <v>125</v>
      </c>
      <c r="H19" s="112"/>
      <c r="I19" s="165"/>
      <c r="J19" s="204">
        <f>J15-SUM(J16:J18)</f>
        <v>656</v>
      </c>
      <c r="K19" s="204">
        <f>K15-SUM(K16:K18)</f>
        <v>828</v>
      </c>
      <c r="L19" s="205">
        <f>L15-SUM(L16:L18)</f>
        <v>208</v>
      </c>
      <c r="M19" s="206">
        <f>M15-SUM(M16:M18)</f>
        <v>253</v>
      </c>
      <c r="N19" s="207">
        <f>N15-SUM(N16:N18)</f>
        <v>873</v>
      </c>
      <c r="O19" s="112"/>
      <c r="P19" s="112"/>
      <c r="Q19" s="112"/>
      <c r="R19" s="112"/>
      <c r="S19" s="112"/>
      <c r="T19" s="112"/>
    </row>
    <row r="20" spans="1:22" ht="13.5" customHeight="1" thickTop="1">
      <c r="A20" s="445"/>
      <c r="B20" s="445"/>
      <c r="C20" s="445"/>
      <c r="D20" s="445"/>
      <c r="E20" s="452"/>
      <c r="F20" s="112"/>
      <c r="G20" s="208" t="s">
        <v>126</v>
      </c>
      <c r="H20" s="112"/>
      <c r="I20" s="209"/>
      <c r="J20" s="209">
        <f>IF(ISERROR(J16/J15),"NA",(J16/J15))</f>
        <v>3.3873343151693665E-2</v>
      </c>
      <c r="K20" s="210">
        <f>IF(ISERROR(K16/K15),"NA",(K16/K15))</f>
        <v>0.10967741935483871</v>
      </c>
      <c r="L20" s="209">
        <f>IF(ISERROR(L16/L15),"NA",(L16/L15))</f>
        <v>-0.22352941176470589</v>
      </c>
      <c r="M20" s="210">
        <f>IF(ISERROR(M16/M15),"NA",(M16/M15))</f>
        <v>8.6642599277978335E-2</v>
      </c>
      <c r="N20" s="211">
        <f>IF(ISERROR(N16/N15),"NA",(N16/N15))</f>
        <v>0.15814850530376084</v>
      </c>
      <c r="O20" s="112"/>
      <c r="P20" s="116" t="s">
        <v>127</v>
      </c>
      <c r="Q20" s="212"/>
      <c r="R20" s="212"/>
      <c r="S20" s="212"/>
      <c r="T20" s="213"/>
    </row>
    <row r="21" spans="1:22" ht="14.25" customHeight="1">
      <c r="A21" s="453"/>
      <c r="B21" s="453"/>
      <c r="C21" s="453"/>
      <c r="D21" s="453"/>
      <c r="E21" s="454"/>
      <c r="F21" s="112"/>
      <c r="G21" s="137" t="s">
        <v>128</v>
      </c>
      <c r="H21" s="112"/>
      <c r="I21" s="186"/>
      <c r="J21" s="187">
        <v>272</v>
      </c>
      <c r="K21" s="187">
        <v>271</v>
      </c>
      <c r="L21" s="188">
        <v>269</v>
      </c>
      <c r="M21" s="189">
        <v>271</v>
      </c>
      <c r="N21" s="174">
        <f>+IF(ISERROR(K21+M21-L21),"NA",K21+M21-L21)</f>
        <v>273</v>
      </c>
      <c r="O21" s="112"/>
      <c r="P21" s="214" t="s">
        <v>129</v>
      </c>
      <c r="Q21" s="215"/>
      <c r="R21" s="215"/>
      <c r="S21" s="215"/>
      <c r="T21" s="373">
        <v>268</v>
      </c>
      <c r="U21" s="374"/>
      <c r="V21" s="374"/>
    </row>
    <row r="22" spans="1:22">
      <c r="A22" s="195"/>
      <c r="B22" s="196"/>
      <c r="C22" s="196"/>
      <c r="D22" s="197"/>
      <c r="E22" s="198"/>
      <c r="F22" s="112"/>
      <c r="G22" s="216" t="s">
        <v>130</v>
      </c>
      <c r="H22" s="217"/>
      <c r="I22" s="218"/>
      <c r="J22" s="218">
        <f>+IF(ISERROR(J19/J21),"NA",J19/J21)</f>
        <v>2.4117647058823528</v>
      </c>
      <c r="K22" s="218">
        <f>+IF(ISERROR(K19/K21),"NA",K19/K21)</f>
        <v>3.055350553505535</v>
      </c>
      <c r="L22" s="219">
        <f>+IF(ISERROR(L19/L21),"NA",L19/L21)</f>
        <v>0.77323420074349447</v>
      </c>
      <c r="M22" s="220">
        <f>+IF(ISERROR(M19/M21),"NA",M19/M21)</f>
        <v>0.93357933579335795</v>
      </c>
      <c r="N22" s="221">
        <f>+IF(ISERROR(K22+M22-L22),"NA",K22+M22-L22)</f>
        <v>3.2156956885553987</v>
      </c>
      <c r="O22" s="112"/>
      <c r="P22" s="214" t="s">
        <v>131</v>
      </c>
      <c r="Q22" s="215"/>
      <c r="R22" s="215"/>
      <c r="S22" s="215"/>
      <c r="T22" s="222">
        <f>+S37</f>
        <v>0</v>
      </c>
    </row>
    <row r="23" spans="1:22">
      <c r="A23" s="195" t="s">
        <v>132</v>
      </c>
      <c r="B23" s="223"/>
      <c r="C23" s="223"/>
      <c r="D23" s="223"/>
      <c r="E23" s="224"/>
      <c r="F23" s="112"/>
      <c r="G23" s="225"/>
      <c r="H23" s="202"/>
      <c r="I23" s="202"/>
      <c r="J23" s="202"/>
      <c r="K23" s="202"/>
      <c r="L23" s="202"/>
      <c r="M23" s="202"/>
      <c r="N23" s="226"/>
      <c r="O23" s="112"/>
      <c r="P23" s="214" t="s">
        <v>133</v>
      </c>
      <c r="Q23" s="215"/>
      <c r="R23" s="215"/>
      <c r="S23" s="215"/>
      <c r="T23" s="222">
        <v>0.15</v>
      </c>
    </row>
    <row r="24" spans="1:22">
      <c r="A24" s="451" t="s">
        <v>241</v>
      </c>
      <c r="B24" s="453"/>
      <c r="C24" s="453"/>
      <c r="D24" s="453"/>
      <c r="E24" s="454"/>
      <c r="F24" s="112"/>
      <c r="G24" s="227" t="s">
        <v>135</v>
      </c>
      <c r="H24" s="117"/>
      <c r="I24" s="117"/>
      <c r="J24" s="117"/>
      <c r="K24" s="117"/>
      <c r="L24" s="117"/>
      <c r="M24" s="117"/>
      <c r="N24" s="228"/>
      <c r="O24" s="112"/>
      <c r="P24" s="229" t="s">
        <v>136</v>
      </c>
      <c r="Q24" s="230"/>
      <c r="R24" s="230"/>
      <c r="S24" s="230"/>
      <c r="T24" s="231">
        <f>IF(ISERROR(T22+T23),0,T22+T23)</f>
        <v>0.15</v>
      </c>
    </row>
    <row r="25" spans="1:22">
      <c r="A25" s="453"/>
      <c r="B25" s="453"/>
      <c r="C25" s="453"/>
      <c r="D25" s="453"/>
      <c r="E25" s="454"/>
      <c r="F25" s="232"/>
      <c r="G25" s="137"/>
      <c r="H25" s="112"/>
      <c r="I25" s="125"/>
      <c r="J25" s="125"/>
      <c r="K25" s="112"/>
      <c r="L25" s="126" t="s">
        <v>83</v>
      </c>
      <c r="M25" s="126" t="s">
        <v>84</v>
      </c>
      <c r="N25" s="127"/>
      <c r="O25" s="112"/>
      <c r="P25" s="168" t="s">
        <v>137</v>
      </c>
      <c r="Q25" s="215"/>
      <c r="R25" s="215"/>
      <c r="S25" s="215"/>
      <c r="T25" s="233">
        <f>+T44</f>
        <v>0</v>
      </c>
    </row>
    <row r="26" spans="1:22" ht="19.5" customHeight="1">
      <c r="A26" s="453"/>
      <c r="B26" s="453"/>
      <c r="C26" s="453"/>
      <c r="D26" s="453"/>
      <c r="E26" s="454"/>
      <c r="F26" s="112"/>
      <c r="G26" s="137"/>
      <c r="H26" s="112"/>
      <c r="I26" s="234"/>
      <c r="J26" s="132" t="str">
        <f>"FYE "&amp;TEXT($E$8,"mmmm d")&amp;","</f>
        <v>FYE June 26,</v>
      </c>
      <c r="K26" s="132"/>
      <c r="L26" s="126" t="s">
        <v>87</v>
      </c>
      <c r="M26" s="126" t="s">
        <v>87</v>
      </c>
      <c r="N26" s="133" t="s">
        <v>17</v>
      </c>
      <c r="O26" s="112"/>
      <c r="P26" s="168" t="s">
        <v>138</v>
      </c>
      <c r="Q26" s="215"/>
      <c r="R26" s="215"/>
      <c r="S26" s="215"/>
      <c r="T26" s="190">
        <v>3.4</v>
      </c>
    </row>
    <row r="27" spans="1:22" ht="15.75" customHeight="1">
      <c r="A27" s="453"/>
      <c r="B27" s="453"/>
      <c r="C27" s="453"/>
      <c r="D27" s="453"/>
      <c r="E27" s="454"/>
      <c r="F27" s="112"/>
      <c r="G27" s="235"/>
      <c r="H27" s="113"/>
      <c r="I27" s="139"/>
      <c r="J27" s="140">
        <f>+J7</f>
        <v>44008</v>
      </c>
      <c r="K27" s="140">
        <f>+K7</f>
        <v>44373</v>
      </c>
      <c r="L27" s="141">
        <f>+L7</f>
        <v>44009</v>
      </c>
      <c r="M27" s="142">
        <f>+M7</f>
        <v>44373</v>
      </c>
      <c r="N27" s="143">
        <f>+N7</f>
        <v>44373</v>
      </c>
      <c r="O27" s="236"/>
      <c r="P27" s="229" t="s">
        <v>139</v>
      </c>
      <c r="Q27" s="215"/>
      <c r="R27" s="215"/>
      <c r="S27" s="215"/>
      <c r="T27" s="237">
        <f>T21+SUM(T24:T26)</f>
        <v>271.55</v>
      </c>
    </row>
    <row r="28" spans="1:22">
      <c r="A28" s="238"/>
      <c r="E28" s="239"/>
      <c r="F28" s="236"/>
      <c r="G28" s="137" t="s">
        <v>140</v>
      </c>
      <c r="H28" s="112"/>
      <c r="I28" s="240"/>
      <c r="J28" s="240">
        <f>J10</f>
        <v>1433</v>
      </c>
      <c r="K28" s="240">
        <f>K10</f>
        <v>1761</v>
      </c>
      <c r="L28" s="241">
        <f>L10</f>
        <v>362</v>
      </c>
      <c r="M28" s="242">
        <f>M10</f>
        <v>484</v>
      </c>
      <c r="N28" s="243">
        <f>N10</f>
        <v>1883</v>
      </c>
      <c r="O28" s="112"/>
      <c r="P28" s="122"/>
      <c r="Q28" s="112"/>
      <c r="R28" s="112"/>
      <c r="S28" s="112"/>
      <c r="T28" s="185"/>
    </row>
    <row r="29" spans="1:22">
      <c r="A29" s="244" t="s">
        <v>141</v>
      </c>
      <c r="E29" s="239"/>
      <c r="F29" s="236"/>
      <c r="G29" s="137" t="s">
        <v>142</v>
      </c>
      <c r="H29" s="112"/>
      <c r="I29" s="186"/>
      <c r="J29" s="191">
        <v>0</v>
      </c>
      <c r="K29" s="191">
        <v>0</v>
      </c>
      <c r="L29" s="192">
        <v>0</v>
      </c>
      <c r="M29" s="193">
        <v>0</v>
      </c>
      <c r="N29" s="245">
        <f>K29+M29-L29</f>
        <v>0</v>
      </c>
      <c r="O29" s="246"/>
      <c r="P29" s="247" t="s">
        <v>143</v>
      </c>
      <c r="Q29" s="248"/>
      <c r="R29" s="248"/>
      <c r="S29" s="248"/>
      <c r="T29" s="249"/>
    </row>
    <row r="30" spans="1:22">
      <c r="A30" s="455" t="s">
        <v>242</v>
      </c>
      <c r="B30" s="445"/>
      <c r="C30" s="445"/>
      <c r="D30" s="445"/>
      <c r="E30" s="452"/>
      <c r="F30" s="112"/>
      <c r="G30" s="164" t="s">
        <v>145</v>
      </c>
      <c r="H30" s="112"/>
      <c r="I30" s="165"/>
      <c r="J30" s="165">
        <f>SUM(J28:J29)</f>
        <v>1433</v>
      </c>
      <c r="K30" s="165">
        <f>SUM(K28:K29)</f>
        <v>1761</v>
      </c>
      <c r="L30" s="166">
        <f>SUM(L28:L29)</f>
        <v>362</v>
      </c>
      <c r="M30" s="167">
        <f>SUM(M28:M29)</f>
        <v>484</v>
      </c>
      <c r="N30" s="153">
        <f>SUM(N28:N29)</f>
        <v>1883</v>
      </c>
      <c r="O30" s="112"/>
      <c r="P30" s="250"/>
      <c r="Q30" s="126" t="s">
        <v>146</v>
      </c>
      <c r="R30" s="126" t="s">
        <v>147</v>
      </c>
      <c r="S30" s="126" t="s">
        <v>148</v>
      </c>
      <c r="T30" s="251"/>
    </row>
    <row r="31" spans="1:22">
      <c r="A31" s="445"/>
      <c r="B31" s="445"/>
      <c r="C31" s="445"/>
      <c r="D31" s="445"/>
      <c r="E31" s="452"/>
      <c r="F31" s="112"/>
      <c r="G31" s="252" t="s">
        <v>149</v>
      </c>
      <c r="H31" s="134"/>
      <c r="I31" s="253"/>
      <c r="J31" s="253">
        <f>IF(ISERROR(J30/J8),"NA",J30/J8)</f>
        <v>0.65403925148334097</v>
      </c>
      <c r="K31" s="253">
        <f>IF(ISERROR(K30/K8),"NA",K30/K8)</f>
        <v>0.66881883782757312</v>
      </c>
      <c r="L31" s="254">
        <f>IF(ISERROR(L30/L8),"NA",L30/L8)</f>
        <v>0.66422018348623857</v>
      </c>
      <c r="M31" s="255">
        <f>IF(ISERROR(M30/M8),"NA",M30/M8)</f>
        <v>0.67222222222222228</v>
      </c>
      <c r="N31" s="256">
        <f>IF(ISERROR(N30/N8),"NA",N30/N8)</f>
        <v>0.67058404558404561</v>
      </c>
      <c r="O31" s="112"/>
      <c r="P31" s="257" t="s">
        <v>150</v>
      </c>
      <c r="Q31" s="258" t="s">
        <v>151</v>
      </c>
      <c r="R31" s="258" t="s">
        <v>152</v>
      </c>
      <c r="S31" s="258" t="s">
        <v>151</v>
      </c>
      <c r="T31" s="259" t="s">
        <v>153</v>
      </c>
    </row>
    <row r="32" spans="1:22">
      <c r="A32" s="445"/>
      <c r="B32" s="445"/>
      <c r="C32" s="445"/>
      <c r="D32" s="445"/>
      <c r="E32" s="452"/>
      <c r="F32" s="112"/>
      <c r="G32" s="137"/>
      <c r="H32" s="112"/>
      <c r="I32" s="260"/>
      <c r="J32" s="260"/>
      <c r="K32" s="260"/>
      <c r="L32" s="261"/>
      <c r="M32" s="262"/>
      <c r="N32" s="263"/>
      <c r="O32" s="112"/>
      <c r="P32" s="46" t="s">
        <v>154</v>
      </c>
      <c r="Q32" s="264">
        <v>0.104</v>
      </c>
      <c r="R32" s="265">
        <v>28.75</v>
      </c>
      <c r="S32" s="266">
        <f>+IF(R32&lt;$T$5,Q32,0)</f>
        <v>0</v>
      </c>
      <c r="T32" s="267">
        <f>IF(S32="NA","NA",S32*R32)</f>
        <v>0</v>
      </c>
    </row>
    <row r="33" spans="1:20">
      <c r="A33" s="453"/>
      <c r="B33" s="453"/>
      <c r="C33" s="453"/>
      <c r="D33" s="453"/>
      <c r="E33" s="454"/>
      <c r="F33" s="112"/>
      <c r="G33" s="137" t="s">
        <v>155</v>
      </c>
      <c r="H33" s="112"/>
      <c r="I33" s="240"/>
      <c r="J33" s="240">
        <f>J12</f>
        <v>687</v>
      </c>
      <c r="K33" s="240">
        <f>K12</f>
        <v>946</v>
      </c>
      <c r="L33" s="241">
        <f>L12</f>
        <v>178</v>
      </c>
      <c r="M33" s="242">
        <f>M12</f>
        <v>283</v>
      </c>
      <c r="N33" s="243">
        <f>N12</f>
        <v>1051</v>
      </c>
      <c r="O33" s="112"/>
      <c r="P33" s="46" t="s">
        <v>156</v>
      </c>
      <c r="Q33" s="264">
        <v>0</v>
      </c>
      <c r="R33" s="268">
        <v>0</v>
      </c>
      <c r="S33" s="266">
        <f>+IF(R33&lt;$T$5,Q33,0)</f>
        <v>0</v>
      </c>
      <c r="T33" s="269">
        <f>IF(S33="NA","NA",S33*R33)</f>
        <v>0</v>
      </c>
    </row>
    <row r="34" spans="1:20">
      <c r="A34" s="453"/>
      <c r="B34" s="453"/>
      <c r="C34" s="453"/>
      <c r="D34" s="453"/>
      <c r="E34" s="454"/>
      <c r="F34" s="236"/>
      <c r="G34" s="137" t="s">
        <v>157</v>
      </c>
      <c r="H34" s="112"/>
      <c r="I34" s="186"/>
      <c r="J34" s="187">
        <v>0</v>
      </c>
      <c r="K34" s="187">
        <v>0</v>
      </c>
      <c r="L34" s="188">
        <v>0</v>
      </c>
      <c r="M34" s="189">
        <v>0</v>
      </c>
      <c r="N34" s="199">
        <f>K34+M34-L34</f>
        <v>0</v>
      </c>
      <c r="O34" s="112"/>
      <c r="P34" s="46" t="s">
        <v>158</v>
      </c>
      <c r="Q34" s="264">
        <v>0</v>
      </c>
      <c r="R34" s="268">
        <v>0</v>
      </c>
      <c r="S34" s="266">
        <f>+IF(R34&lt;$T$5,Q34,0)</f>
        <v>0</v>
      </c>
      <c r="T34" s="270">
        <f>IF(S34="NA","NA",S34*R34)</f>
        <v>0</v>
      </c>
    </row>
    <row r="35" spans="1:20">
      <c r="A35" s="453"/>
      <c r="B35" s="453"/>
      <c r="C35" s="453"/>
      <c r="D35" s="453"/>
      <c r="E35" s="454"/>
      <c r="F35" s="112"/>
      <c r="G35" s="137" t="s">
        <v>159</v>
      </c>
      <c r="H35" s="112"/>
      <c r="I35" s="186"/>
      <c r="J35" s="187">
        <v>0</v>
      </c>
      <c r="K35" s="187">
        <v>0</v>
      </c>
      <c r="L35" s="188">
        <v>0</v>
      </c>
      <c r="M35" s="189">
        <v>0</v>
      </c>
      <c r="N35" s="271">
        <f>K35+M35-L35</f>
        <v>0</v>
      </c>
      <c r="O35" s="246"/>
      <c r="P35" s="46" t="s">
        <v>160</v>
      </c>
      <c r="Q35" s="264">
        <v>0</v>
      </c>
      <c r="R35" s="268">
        <v>0</v>
      </c>
      <c r="S35" s="266">
        <f>+IF(R35&lt;$T$5,Q35,0)</f>
        <v>0</v>
      </c>
      <c r="T35" s="270">
        <f>IF(S35="NA","NA",S35*R35)</f>
        <v>0</v>
      </c>
    </row>
    <row r="36" spans="1:20">
      <c r="A36" s="238"/>
      <c r="B36" s="272"/>
      <c r="C36" s="272"/>
      <c r="D36" s="273"/>
      <c r="E36" s="274"/>
      <c r="F36" s="236"/>
      <c r="G36" s="137" t="s">
        <v>161</v>
      </c>
      <c r="H36" s="112"/>
      <c r="I36" s="186"/>
      <c r="J36" s="266">
        <f>+J71</f>
        <v>95</v>
      </c>
      <c r="K36" s="275">
        <f>+K71</f>
        <v>108</v>
      </c>
      <c r="L36" s="266">
        <f>+L71</f>
        <v>23</v>
      </c>
      <c r="M36" s="275">
        <f>+M71</f>
        <v>20</v>
      </c>
      <c r="N36" s="276">
        <f>+N71</f>
        <v>105</v>
      </c>
      <c r="O36" s="246"/>
      <c r="P36" s="46" t="s">
        <v>162</v>
      </c>
      <c r="Q36" s="277">
        <v>0</v>
      </c>
      <c r="R36" s="278">
        <v>0</v>
      </c>
      <c r="S36" s="279">
        <f>+IF(R36&lt;$T$5,Q36,0)</f>
        <v>0</v>
      </c>
      <c r="T36" s="280">
        <f>IF(S36="NA","NA",S36*R36)</f>
        <v>0</v>
      </c>
    </row>
    <row r="37" spans="1:20">
      <c r="A37" s="116" t="s">
        <v>163</v>
      </c>
      <c r="B37" s="117"/>
      <c r="C37" s="117"/>
      <c r="D37" s="117"/>
      <c r="E37" s="118"/>
      <c r="F37" s="112"/>
      <c r="G37" s="137" t="s">
        <v>164</v>
      </c>
      <c r="H37" s="112"/>
      <c r="I37" s="186"/>
      <c r="J37" s="187">
        <v>0</v>
      </c>
      <c r="K37" s="187">
        <v>0</v>
      </c>
      <c r="L37" s="188">
        <v>0</v>
      </c>
      <c r="M37" s="189">
        <v>0</v>
      </c>
      <c r="N37" s="276">
        <f>K37+M37-L37</f>
        <v>0</v>
      </c>
      <c r="O37" s="125"/>
      <c r="P37" s="162" t="s">
        <v>165</v>
      </c>
      <c r="Q37" s="281">
        <f>SUM(Q32:Q36)</f>
        <v>0.104</v>
      </c>
      <c r="R37" s="282"/>
      <c r="S37" s="281">
        <f>SUM(S32:S36)</f>
        <v>0</v>
      </c>
      <c r="T37" s="176">
        <f>SUM(T32:T36)</f>
        <v>0</v>
      </c>
    </row>
    <row r="38" spans="1:20">
      <c r="A38" s="283" t="s">
        <v>166</v>
      </c>
      <c r="B38" s="178"/>
      <c r="C38" s="112"/>
      <c r="D38" s="112"/>
      <c r="E38" s="284">
        <f>EOMONTH(E8,12)</f>
        <v>44742</v>
      </c>
      <c r="F38" s="285"/>
      <c r="G38" s="137" t="s">
        <v>167</v>
      </c>
      <c r="H38" s="112"/>
      <c r="I38" s="186"/>
      <c r="J38" s="191">
        <v>0</v>
      </c>
      <c r="K38" s="191">
        <v>0</v>
      </c>
      <c r="L38" s="192">
        <v>0</v>
      </c>
      <c r="M38" s="193">
        <v>0</v>
      </c>
      <c r="N38" s="245">
        <f>K38+M38-L38</f>
        <v>0</v>
      </c>
      <c r="O38" s="112"/>
      <c r="P38" s="247" t="s">
        <v>168</v>
      </c>
      <c r="Q38" s="248"/>
      <c r="R38" s="248"/>
      <c r="S38" s="248"/>
      <c r="T38" s="249"/>
    </row>
    <row r="39" spans="1:20">
      <c r="A39" s="283" t="s">
        <v>169</v>
      </c>
      <c r="B39" s="112"/>
      <c r="C39" s="260" t="s">
        <v>170</v>
      </c>
      <c r="D39" s="286"/>
      <c r="E39" s="190">
        <v>2532</v>
      </c>
      <c r="F39" s="112"/>
      <c r="G39" s="164" t="s">
        <v>171</v>
      </c>
      <c r="H39" s="112"/>
      <c r="I39" s="165"/>
      <c r="J39" s="165">
        <f>+J33+SUM(J34:J38)+J29</f>
        <v>782</v>
      </c>
      <c r="K39" s="165">
        <f>+K33+SUM(K34:K38)+K29</f>
        <v>1054</v>
      </c>
      <c r="L39" s="166">
        <f>+L33+SUM(L34:L38)+L29</f>
        <v>201</v>
      </c>
      <c r="M39" s="167">
        <f>+M33+SUM(M34:M38)+M29</f>
        <v>303</v>
      </c>
      <c r="N39" s="153">
        <f>+N33+SUM(N34:N38)+N29</f>
        <v>1156</v>
      </c>
      <c r="O39" s="112"/>
      <c r="P39" s="287"/>
      <c r="Q39" s="126"/>
      <c r="R39" s="288" t="s">
        <v>172</v>
      </c>
      <c r="S39" s="288" t="s">
        <v>173</v>
      </c>
      <c r="T39" s="289" t="s">
        <v>174</v>
      </c>
    </row>
    <row r="40" spans="1:20">
      <c r="A40" s="283" t="s">
        <v>175</v>
      </c>
      <c r="B40" s="112"/>
      <c r="C40" s="112"/>
      <c r="D40" s="290"/>
      <c r="E40" s="190">
        <v>1029</v>
      </c>
      <c r="F40" s="112"/>
      <c r="G40" s="252" t="s">
        <v>149</v>
      </c>
      <c r="H40" s="134"/>
      <c r="I40" s="253"/>
      <c r="J40" s="253">
        <f>IF(ISERROR(J39/J8),"NA",J39/J8)</f>
        <v>0.3569146508443633</v>
      </c>
      <c r="K40" s="253">
        <f>IF(ISERROR(K39/K8),"NA",K39/K8)</f>
        <v>0.40030383592859858</v>
      </c>
      <c r="L40" s="254">
        <f>IF(ISERROR(L39/L8),"NA",L39/L8)</f>
        <v>0.3688073394495413</v>
      </c>
      <c r="M40" s="255">
        <f>IF(ISERROR(M39/M8),"NA",M39/M8)</f>
        <v>0.42083333333333334</v>
      </c>
      <c r="N40" s="256">
        <f>IF(ISERROR(N39/N8),"NA",N39/N8)</f>
        <v>0.4116809116809117</v>
      </c>
      <c r="O40" s="125"/>
      <c r="P40" s="287"/>
      <c r="Q40" s="258" t="s">
        <v>176</v>
      </c>
      <c r="R40" s="291" t="s">
        <v>152</v>
      </c>
      <c r="S40" s="291" t="s">
        <v>177</v>
      </c>
      <c r="T40" s="292" t="s">
        <v>151</v>
      </c>
    </row>
    <row r="41" spans="1:20">
      <c r="A41" s="283" t="s">
        <v>178</v>
      </c>
      <c r="B41" s="112"/>
      <c r="C41" s="112"/>
      <c r="D41" s="293"/>
      <c r="E41" s="190">
        <v>814</v>
      </c>
      <c r="F41" s="112"/>
      <c r="G41" s="137"/>
      <c r="H41" s="112"/>
      <c r="I41" s="112"/>
      <c r="J41" s="112"/>
      <c r="K41" s="294"/>
      <c r="L41" s="112"/>
      <c r="M41" s="294"/>
      <c r="N41" s="127"/>
      <c r="O41" s="125"/>
      <c r="P41" s="287" t="s">
        <v>180</v>
      </c>
      <c r="Q41" s="264">
        <v>0</v>
      </c>
      <c r="R41" s="265">
        <v>0</v>
      </c>
      <c r="S41" s="295">
        <f>IF(ISERROR(1000/R41),0,(1000/R41))</f>
        <v>0</v>
      </c>
      <c r="T41" s="270">
        <f>+IF(R41&lt;$T$5,IF(ISERROR(Q41/R41),0,Q41/R41),0)</f>
        <v>0</v>
      </c>
    </row>
    <row r="42" spans="1:20">
      <c r="A42" s="283" t="s">
        <v>181</v>
      </c>
      <c r="B42" s="112"/>
      <c r="C42" s="112"/>
      <c r="D42" s="290"/>
      <c r="E42" s="296">
        <f>(K57-J57)+K57</f>
        <v>4.0526851801606254</v>
      </c>
      <c r="F42" s="112"/>
      <c r="G42" s="137" t="s">
        <v>182</v>
      </c>
      <c r="H42" s="112"/>
      <c r="I42" s="297"/>
      <c r="J42" s="297">
        <f>+J70</f>
        <v>109</v>
      </c>
      <c r="K42" s="297">
        <f>+K70</f>
        <v>96</v>
      </c>
      <c r="L42" s="298">
        <f>+L70</f>
        <v>36</v>
      </c>
      <c r="M42" s="299">
        <f>+M70</f>
        <v>24</v>
      </c>
      <c r="N42" s="300">
        <f>+N70</f>
        <v>84</v>
      </c>
      <c r="O42" s="246"/>
      <c r="P42" s="287" t="s">
        <v>183</v>
      </c>
      <c r="Q42" s="264">
        <v>0</v>
      </c>
      <c r="R42" s="268">
        <v>0</v>
      </c>
      <c r="S42" s="295">
        <f>IF(ISERROR(1000/R42),0,(1000/R42))</f>
        <v>0</v>
      </c>
      <c r="T42" s="270">
        <f>+IF(R42&lt;$T$5,IF(ISERROR(Q42/R42),0,Q42/R42),0)</f>
        <v>0</v>
      </c>
    </row>
    <row r="43" spans="1:20">
      <c r="A43" s="122"/>
      <c r="B43" s="112"/>
      <c r="C43" s="112"/>
      <c r="D43" s="112"/>
      <c r="E43" s="185"/>
      <c r="F43" s="112"/>
      <c r="G43" s="137" t="s">
        <v>184</v>
      </c>
      <c r="H43" s="112"/>
      <c r="I43" s="186"/>
      <c r="J43" s="191">
        <v>0</v>
      </c>
      <c r="K43" s="191">
        <v>0</v>
      </c>
      <c r="L43" s="192">
        <v>0</v>
      </c>
      <c r="M43" s="193">
        <v>0</v>
      </c>
      <c r="N43" s="301">
        <f>K43+M43-L43</f>
        <v>0</v>
      </c>
      <c r="O43" s="112"/>
      <c r="P43" s="287" t="s">
        <v>185</v>
      </c>
      <c r="Q43" s="264">
        <v>0</v>
      </c>
      <c r="R43" s="268">
        <v>0</v>
      </c>
      <c r="S43" s="295">
        <f>IF(ISERROR(1000/R43),0,(1000/R43))</f>
        <v>0</v>
      </c>
      <c r="T43" s="270">
        <f>+IF(R43&lt;$T$5,IF(ISERROR(Q43/R43),0,Q43/R43),0)</f>
        <v>0</v>
      </c>
    </row>
    <row r="44" spans="1:20">
      <c r="A44" s="283" t="s">
        <v>166</v>
      </c>
      <c r="B44" s="112"/>
      <c r="C44" s="112"/>
      <c r="D44" s="112"/>
      <c r="E44" s="284">
        <f>EOMONTH(E38,12)</f>
        <v>45107</v>
      </c>
      <c r="F44" s="112"/>
      <c r="G44" s="164" t="s">
        <v>186</v>
      </c>
      <c r="H44" s="112"/>
      <c r="I44" s="165"/>
      <c r="J44" s="165">
        <f>+J39+SUM(J42:J43)</f>
        <v>891</v>
      </c>
      <c r="K44" s="165">
        <f>+K39+SUM(K42:K43)</f>
        <v>1150</v>
      </c>
      <c r="L44" s="166">
        <f>+L39+SUM(L42:L43)</f>
        <v>237</v>
      </c>
      <c r="M44" s="167">
        <f>+M39+SUM(M42:M43)</f>
        <v>327</v>
      </c>
      <c r="N44" s="153">
        <f>+N39+SUM(N42:N43)</f>
        <v>1240</v>
      </c>
      <c r="O44" s="112"/>
      <c r="P44" s="302" t="s">
        <v>165</v>
      </c>
      <c r="Q44" s="303"/>
      <c r="R44" s="304"/>
      <c r="S44" s="303"/>
      <c r="T44" s="305">
        <f>SUM(T41:T43)</f>
        <v>0</v>
      </c>
    </row>
    <row r="45" spans="1:20">
      <c r="A45" s="283" t="s">
        <v>187</v>
      </c>
      <c r="B45" s="112"/>
      <c r="C45" s="260" t="s">
        <v>170</v>
      </c>
      <c r="D45" s="286"/>
      <c r="E45" s="190">
        <v>2878</v>
      </c>
      <c r="F45" s="112"/>
      <c r="G45" s="252" t="s">
        <v>149</v>
      </c>
      <c r="H45" s="134"/>
      <c r="I45" s="253"/>
      <c r="J45" s="253">
        <f>IF(ISERROR(J44/J8),"NA",J44/J8)</f>
        <v>0.40666362391602007</v>
      </c>
      <c r="K45" s="253">
        <f>IF(ISERROR(K44/K8),"NA",K44/K8)</f>
        <v>0.43676414736042535</v>
      </c>
      <c r="L45" s="254">
        <f>IF(ISERROR(L44/L8),"NA",L44/L8)</f>
        <v>0.43486238532110094</v>
      </c>
      <c r="M45" s="255">
        <f>IF(ISERROR(M44/M8),"NA",M44/M8)</f>
        <v>0.45416666666666666</v>
      </c>
      <c r="N45" s="256">
        <f>IF(ISERROR(N44/N8),"NA",N44/N8)</f>
        <v>0.44159544159544162</v>
      </c>
      <c r="O45" s="112"/>
      <c r="P45" s="306"/>
      <c r="Q45" s="307"/>
      <c r="R45" s="308"/>
      <c r="S45" s="295"/>
      <c r="T45" s="295"/>
    </row>
    <row r="46" spans="1:20">
      <c r="A46" s="283" t="s">
        <v>188</v>
      </c>
      <c r="B46" s="112"/>
      <c r="C46" s="112"/>
      <c r="D46" s="290"/>
      <c r="E46" s="190">
        <v>1250</v>
      </c>
      <c r="F46" s="112"/>
      <c r="G46" s="137"/>
      <c r="H46" s="112"/>
      <c r="I46" s="112"/>
      <c r="J46" s="112"/>
      <c r="K46" s="294"/>
      <c r="L46" s="112"/>
      <c r="M46" s="294"/>
      <c r="N46" s="127"/>
      <c r="O46" s="112"/>
      <c r="P46" s="116" t="s">
        <v>189</v>
      </c>
      <c r="Q46" s="117"/>
      <c r="R46" s="117"/>
      <c r="S46" s="117"/>
      <c r="T46" s="118"/>
    </row>
    <row r="47" spans="1:20">
      <c r="A47" s="283" t="s">
        <v>190</v>
      </c>
      <c r="B47" s="112"/>
      <c r="C47" s="112"/>
      <c r="D47" s="293"/>
      <c r="E47" s="190">
        <v>1003</v>
      </c>
      <c r="F47" s="112"/>
      <c r="G47" s="137" t="s">
        <v>191</v>
      </c>
      <c r="H47" s="112"/>
      <c r="I47" s="240"/>
      <c r="J47" s="240">
        <f>J19</f>
        <v>656</v>
      </c>
      <c r="K47" s="240">
        <f>K19</f>
        <v>828</v>
      </c>
      <c r="L47" s="241">
        <f>L19</f>
        <v>208</v>
      </c>
      <c r="M47" s="242">
        <f>M19</f>
        <v>253</v>
      </c>
      <c r="N47" s="243">
        <f>N19</f>
        <v>873</v>
      </c>
      <c r="O47" s="112"/>
      <c r="P47" s="122"/>
      <c r="Q47" s="112"/>
      <c r="R47" s="126" t="str">
        <f>N6</f>
        <v>LTM</v>
      </c>
      <c r="S47" s="126" t="s">
        <v>192</v>
      </c>
      <c r="T47" s="251" t="s">
        <v>193</v>
      </c>
    </row>
    <row r="48" spans="1:20">
      <c r="A48" s="283" t="s">
        <v>194</v>
      </c>
      <c r="B48" s="112"/>
      <c r="C48" s="112"/>
      <c r="D48" s="290"/>
      <c r="E48" s="296">
        <f>(K57-J57)+E42</f>
        <v>4.7351858584762319</v>
      </c>
      <c r="F48" s="112"/>
      <c r="G48" s="137" t="s">
        <v>142</v>
      </c>
      <c r="H48" s="112"/>
      <c r="I48" s="309"/>
      <c r="J48" s="309">
        <f>J29</f>
        <v>0</v>
      </c>
      <c r="K48" s="309">
        <f>K29</f>
        <v>0</v>
      </c>
      <c r="L48" s="310">
        <f>L29</f>
        <v>0</v>
      </c>
      <c r="M48" s="311">
        <f>M29</f>
        <v>0</v>
      </c>
      <c r="N48" s="271">
        <f>N29</f>
        <v>0</v>
      </c>
      <c r="O48" s="112"/>
      <c r="P48" s="122"/>
      <c r="Q48" s="112"/>
      <c r="R48" s="258">
        <f>N7</f>
        <v>44373</v>
      </c>
      <c r="S48" s="258">
        <f>+E38</f>
        <v>44742</v>
      </c>
      <c r="T48" s="259">
        <f>S48+365</f>
        <v>45107</v>
      </c>
    </row>
    <row r="49" spans="1:20">
      <c r="A49" s="122"/>
      <c r="B49" s="112"/>
      <c r="C49" s="112"/>
      <c r="D49" s="112"/>
      <c r="E49" s="185"/>
      <c r="F49" s="112"/>
      <c r="G49" s="137" t="s">
        <v>195</v>
      </c>
      <c r="H49" s="112"/>
      <c r="I49" s="266"/>
      <c r="J49" s="266">
        <f>+SUM(J34:J38)</f>
        <v>95</v>
      </c>
      <c r="K49" s="275">
        <f>+SUM(K34:K38)</f>
        <v>108</v>
      </c>
      <c r="L49" s="266">
        <f>+SUM(L34:L38)</f>
        <v>23</v>
      </c>
      <c r="M49" s="275">
        <f>+SUM(M34:M38)</f>
        <v>20</v>
      </c>
      <c r="N49" s="276">
        <f>+SUM(N34:N38)</f>
        <v>105</v>
      </c>
      <c r="O49" s="112"/>
      <c r="P49" s="122" t="s">
        <v>53</v>
      </c>
      <c r="Q49" s="112"/>
      <c r="R49" s="312">
        <f>IF(ISERROR(T17/N8),"NM",T17/N8)</f>
        <v>6.9200218376068383</v>
      </c>
      <c r="S49" s="312">
        <f>IF(ISERROR($T$17/E39),"NM",$T$17/E39)</f>
        <v>7.6743370142180103</v>
      </c>
      <c r="T49" s="313">
        <f>IF(ISERROR($T$17/E45),"NM",$T$17/E45)</f>
        <v>6.7517099791521895</v>
      </c>
    </row>
    <row r="50" spans="1:20">
      <c r="A50" s="283" t="s">
        <v>166</v>
      </c>
      <c r="B50" s="112"/>
      <c r="C50" s="112"/>
      <c r="D50" s="112"/>
      <c r="E50" s="284">
        <f>EOMONTH(E44,12)</f>
        <v>45473</v>
      </c>
      <c r="F50" s="112"/>
      <c r="G50" s="137" t="s">
        <v>184</v>
      </c>
      <c r="H50" s="112"/>
      <c r="I50" s="266"/>
      <c r="J50" s="314">
        <v>0</v>
      </c>
      <c r="K50" s="314">
        <v>0</v>
      </c>
      <c r="L50" s="315">
        <v>0</v>
      </c>
      <c r="M50" s="316">
        <v>0</v>
      </c>
      <c r="N50" s="276">
        <f>K50+M50-L50</f>
        <v>0</v>
      </c>
      <c r="O50" s="112"/>
      <c r="P50" s="122" t="s">
        <v>54</v>
      </c>
      <c r="Q50" s="112"/>
      <c r="R50" s="312">
        <f>IF(OR((ISERROR($T$17/N44)),N44&lt;0),"NM",$T$17/N44)</f>
        <v>15.670501064516131</v>
      </c>
      <c r="S50" s="312">
        <f>IF(OR((ISERROR($T$17/E40)),E40&lt;0),"NM",$T$17/E40)</f>
        <v>18.883791370262394</v>
      </c>
      <c r="T50" s="313">
        <f>IF(OR((ISERROR($T$17/E46)),E46&lt;0),"NM",$T$17/E46)</f>
        <v>15.545137056000002</v>
      </c>
    </row>
    <row r="51" spans="1:20">
      <c r="A51" s="283" t="s">
        <v>196</v>
      </c>
      <c r="B51" s="112"/>
      <c r="C51" s="260" t="s">
        <v>170</v>
      </c>
      <c r="D51" s="286"/>
      <c r="E51" s="190">
        <v>3079</v>
      </c>
      <c r="F51" s="112"/>
      <c r="G51" s="137" t="s">
        <v>197</v>
      </c>
      <c r="H51" s="112"/>
      <c r="I51" s="266"/>
      <c r="J51" s="266">
        <f>-(SUM(J48:J50)*($E$11))</f>
        <v>-19.95</v>
      </c>
      <c r="K51" s="275">
        <f>-(SUM(K48:K50)*($E$11))</f>
        <v>-22.68</v>
      </c>
      <c r="L51" s="266">
        <f>-(SUM(L48:L50)*($E$11))</f>
        <v>-4.83</v>
      </c>
      <c r="M51" s="275">
        <f>-(SUM(M48:M50)*($E$11))</f>
        <v>-4.2</v>
      </c>
      <c r="N51" s="276">
        <f>-(SUM(N48:N50)*($E$11))</f>
        <v>-22.05</v>
      </c>
      <c r="O51" s="112"/>
      <c r="P51" s="122" t="s">
        <v>198</v>
      </c>
      <c r="Q51" s="112"/>
      <c r="R51" s="312">
        <f>IF(OR((ISERROR($T$17/N39)),N39&lt;0),"NM",$T$17/N39)</f>
        <v>16.809187993079586</v>
      </c>
      <c r="S51" s="312">
        <f>IF(OR((ISERROR($T$17/E41)),E41&lt;0),"NM",$T$17/E41)</f>
        <v>23.871524963144964</v>
      </c>
      <c r="T51" s="313">
        <f>IF(OR((ISERROR($T$17/E47)),E47&lt;0),"NM",$T$17/E47)</f>
        <v>19.373301415752742</v>
      </c>
    </row>
    <row r="52" spans="1:20" ht="15.75" thickBot="1">
      <c r="A52" s="283" t="s">
        <v>199</v>
      </c>
      <c r="B52" s="112"/>
      <c r="C52" s="112"/>
      <c r="D52" s="290"/>
      <c r="E52" s="190">
        <v>1376</v>
      </c>
      <c r="F52" s="112"/>
      <c r="G52" s="164" t="s">
        <v>200</v>
      </c>
      <c r="H52" s="112"/>
      <c r="I52" s="165"/>
      <c r="J52" s="204">
        <f>SUM(J47:J51)</f>
        <v>731.05</v>
      </c>
      <c r="K52" s="204">
        <f>SUM(K47:K51)</f>
        <v>913.32</v>
      </c>
      <c r="L52" s="205">
        <f>SUM(L47:L51)</f>
        <v>226.17</v>
      </c>
      <c r="M52" s="206">
        <f>SUM(M47:M51)</f>
        <v>268.8</v>
      </c>
      <c r="N52" s="207">
        <f>SUM(N47:N51)</f>
        <v>955.95</v>
      </c>
      <c r="O52" s="112"/>
      <c r="P52" s="201" t="s">
        <v>56</v>
      </c>
      <c r="Q52" s="202"/>
      <c r="R52" s="317">
        <f>IF(OR((ISERROR($T$9/N57)),N57&lt;0),"NM",$T$9/N57)</f>
        <v>21.028496469480622</v>
      </c>
      <c r="S52" s="317">
        <f>IF(OR((ISERROR($T$9/E42)),E42&lt;0),"NM",$T$9/E42)</f>
        <v>18.169286960770428</v>
      </c>
      <c r="T52" s="318">
        <f>IF(OR((ISERROR($T$9/E48)),E48&lt;0),"NM",$T$9/E48)</f>
        <v>15.550477257020555</v>
      </c>
    </row>
    <row r="53" spans="1:20" ht="15.75" thickTop="1">
      <c r="A53" s="283" t="s">
        <v>201</v>
      </c>
      <c r="B53" s="112"/>
      <c r="C53" s="112"/>
      <c r="D53" s="293"/>
      <c r="E53" s="190">
        <v>1114</v>
      </c>
      <c r="F53" s="112"/>
      <c r="G53" s="252" t="s">
        <v>149</v>
      </c>
      <c r="H53" s="134"/>
      <c r="I53" s="253"/>
      <c r="J53" s="253">
        <f>IF(ISERROR(J52/J8),"NA",J52/J8)</f>
        <v>0.33366042902784115</v>
      </c>
      <c r="K53" s="253">
        <f>IF(ISERROR(K52/K8),"NA",K52/K8)</f>
        <v>0.34687428788454239</v>
      </c>
      <c r="L53" s="254">
        <f>IF(ISERROR(L52/L8),"NA",L52/L8)</f>
        <v>0.41499082568807338</v>
      </c>
      <c r="M53" s="255">
        <f>IF(ISERROR(M52/M8),"NA",M52/M8)</f>
        <v>0.37333333333333335</v>
      </c>
      <c r="N53" s="256">
        <f>IF(ISERROR(N52/N8),"NA",N52/N8)</f>
        <v>0.3404380341880342</v>
      </c>
      <c r="O53" s="112"/>
      <c r="P53" s="112"/>
      <c r="Q53" s="112"/>
      <c r="R53" s="112"/>
      <c r="S53" s="112"/>
      <c r="T53" s="112"/>
    </row>
    <row r="54" spans="1:20">
      <c r="A54" s="319" t="s">
        <v>202</v>
      </c>
      <c r="B54" s="202"/>
      <c r="C54" s="202"/>
      <c r="D54" s="320"/>
      <c r="E54" s="321">
        <f>(K57-J57)+E48</f>
        <v>5.4176865367918392</v>
      </c>
      <c r="F54" s="112"/>
      <c r="G54" s="137"/>
      <c r="H54" s="112"/>
      <c r="I54" s="260"/>
      <c r="J54" s="260"/>
      <c r="K54" s="260"/>
      <c r="L54" s="261"/>
      <c r="M54" s="262"/>
      <c r="N54" s="263"/>
      <c r="O54" s="112"/>
      <c r="P54" s="116" t="s">
        <v>6</v>
      </c>
      <c r="Q54" s="117"/>
      <c r="R54" s="117"/>
      <c r="S54" s="117"/>
      <c r="T54" s="118"/>
    </row>
    <row r="55" spans="1:20">
      <c r="A55" s="122"/>
      <c r="B55" s="112"/>
      <c r="C55" s="112"/>
      <c r="D55" s="112"/>
      <c r="E55" s="185"/>
      <c r="F55" s="112"/>
      <c r="G55" s="137" t="s">
        <v>203</v>
      </c>
      <c r="H55" s="112"/>
      <c r="I55" s="186"/>
      <c r="J55" s="187">
        <v>0</v>
      </c>
      <c r="K55" s="187">
        <v>0</v>
      </c>
      <c r="L55" s="188">
        <v>0</v>
      </c>
      <c r="M55" s="189">
        <v>0</v>
      </c>
      <c r="N55" s="174">
        <f>+IF(ISERROR(K55+M55-L55),"NA",K55+M55-L55)</f>
        <v>0</v>
      </c>
      <c r="O55" s="322"/>
      <c r="P55" s="323" t="s">
        <v>204</v>
      </c>
      <c r="Q55" s="324"/>
      <c r="R55" s="325"/>
      <c r="S55" s="112"/>
      <c r="T55" s="326" t="s">
        <v>205</v>
      </c>
    </row>
    <row r="56" spans="1:20">
      <c r="A56" s="116" t="s">
        <v>206</v>
      </c>
      <c r="B56" s="117"/>
      <c r="C56" s="117"/>
      <c r="D56" s="117"/>
      <c r="E56" s="118"/>
      <c r="F56" s="112"/>
      <c r="G56" s="137" t="s">
        <v>207</v>
      </c>
      <c r="H56" s="112"/>
      <c r="I56" s="186"/>
      <c r="J56" s="187">
        <v>0</v>
      </c>
      <c r="K56" s="187">
        <v>0</v>
      </c>
      <c r="L56" s="188">
        <v>0</v>
      </c>
      <c r="M56" s="189">
        <v>0</v>
      </c>
      <c r="N56" s="174">
        <f>+IF(ISERROR(K56+M56-L56),"NA",K56+M56-L56)</f>
        <v>0</v>
      </c>
      <c r="O56" s="322"/>
      <c r="P56" s="168" t="s">
        <v>208</v>
      </c>
      <c r="Q56" s="112"/>
      <c r="R56" s="265">
        <v>64.09</v>
      </c>
      <c r="S56" s="112"/>
      <c r="T56" s="327">
        <f>IF(ISERROR($T$9/R56-1),"NA",$T$9/R56-1)</f>
        <v>0.14892182867842085</v>
      </c>
    </row>
    <row r="57" spans="1:20">
      <c r="A57" s="328"/>
      <c r="B57" s="329"/>
      <c r="C57" s="329"/>
      <c r="D57" s="329"/>
      <c r="E57" s="330"/>
      <c r="F57" s="112"/>
      <c r="G57" s="331" t="s">
        <v>209</v>
      </c>
      <c r="H57" s="112"/>
      <c r="I57" s="332"/>
      <c r="J57" s="333">
        <f>IF(ISERROR((J52+J55)/(J21+J56)),0,((J52+J55)/(J21+J56)))</f>
        <v>2.6876838235294116</v>
      </c>
      <c r="K57" s="333">
        <f>IF(ISERROR((K52+K55)/(K21+K56)),0,((K52+K55)/(K21+K56)))</f>
        <v>3.3701845018450185</v>
      </c>
      <c r="L57" s="334">
        <f>IF(ISERROR((L52+L55)/(L21+L56)),0,((L52+L55)/(L21+L56)))</f>
        <v>0.8407806691449814</v>
      </c>
      <c r="M57" s="335">
        <f>IF(ISERROR((M52+M55)/(M21+M56)),0,((M52+M55)/(M21+M56)))</f>
        <v>0.99188191881918819</v>
      </c>
      <c r="N57" s="336">
        <f>IF(ISERROR((N52+N55)/(N21+N56)),0,((N52+N55)/(N21+N56)))</f>
        <v>3.5016483516483516</v>
      </c>
      <c r="O57" s="322"/>
      <c r="P57" s="168"/>
      <c r="Q57" s="112"/>
      <c r="R57" s="112"/>
      <c r="S57" s="112"/>
      <c r="T57" s="327"/>
    </row>
    <row r="58" spans="1:20">
      <c r="A58" s="122"/>
      <c r="B58" s="112"/>
      <c r="C58" s="337" t="s">
        <v>33</v>
      </c>
      <c r="D58" s="337" t="s">
        <v>14</v>
      </c>
      <c r="E58" s="338" t="s">
        <v>35</v>
      </c>
      <c r="F58" s="112"/>
      <c r="G58" s="137"/>
      <c r="H58" s="112"/>
      <c r="I58" s="112"/>
      <c r="J58" s="112"/>
      <c r="K58" s="112"/>
      <c r="L58" s="112"/>
      <c r="M58" s="112"/>
      <c r="N58" s="127"/>
      <c r="O58" s="322"/>
      <c r="P58" s="339" t="s">
        <v>210</v>
      </c>
      <c r="Q58" s="201"/>
      <c r="R58" s="202"/>
      <c r="S58" s="112"/>
      <c r="T58" s="327"/>
    </row>
    <row r="59" spans="1:20">
      <c r="A59" s="340" t="s">
        <v>211</v>
      </c>
      <c r="B59" s="112"/>
      <c r="C59" s="112"/>
      <c r="D59" s="112"/>
      <c r="E59" s="185"/>
      <c r="F59" s="112"/>
      <c r="G59" s="341" t="s">
        <v>212</v>
      </c>
      <c r="H59" s="342"/>
      <c r="I59" s="342"/>
      <c r="J59" s="342"/>
      <c r="K59" s="342"/>
      <c r="L59" s="342"/>
      <c r="M59" s="342"/>
      <c r="N59" s="343"/>
      <c r="O59" s="322"/>
      <c r="P59" s="46" t="s">
        <v>208</v>
      </c>
      <c r="Q59" s="112"/>
      <c r="R59" s="265">
        <f>T9/(1.224)</f>
        <v>60.158823529411762</v>
      </c>
      <c r="S59" s="112"/>
      <c r="T59" s="327">
        <f>IF(ISERROR($T$9/R59-1),"NA",$T$9/R59-1)</f>
        <v>0.22399999999999998</v>
      </c>
    </row>
    <row r="60" spans="1:20">
      <c r="A60" s="122" t="s">
        <v>213</v>
      </c>
      <c r="B60" s="112"/>
      <c r="C60" s="344">
        <f>IF(ISERROR(K8/J8-1),0,K8/J8-1)</f>
        <v>0.20173436786855325</v>
      </c>
      <c r="D60" s="344">
        <f>IF(ISERROR(K44/J44-1),0,K44/J44-1)</f>
        <v>0.29068462401795725</v>
      </c>
      <c r="E60" s="345">
        <f>IF(ISERROR(K57/J57-1),0,K57/J57-1)</f>
        <v>0.25393637165972938</v>
      </c>
      <c r="F60" s="112"/>
      <c r="G60" s="456"/>
      <c r="H60" s="457"/>
      <c r="I60" s="457"/>
      <c r="J60" s="457"/>
      <c r="K60" s="457"/>
      <c r="L60" s="457"/>
      <c r="M60" s="457"/>
      <c r="N60" s="458"/>
      <c r="O60" s="112"/>
      <c r="P60" s="122" t="s">
        <v>214</v>
      </c>
      <c r="Q60" s="329"/>
      <c r="R60" s="265">
        <f>T9/(1.303)</f>
        <v>56.511435149654645</v>
      </c>
      <c r="S60" s="112"/>
      <c r="T60" s="327">
        <f>IF(ISERROR($T$9/R60-1),"NA",$T$9/R60-1)</f>
        <v>0.30299999999999994</v>
      </c>
    </row>
    <row r="61" spans="1:20">
      <c r="A61" s="122"/>
      <c r="B61" s="112"/>
      <c r="C61" s="344"/>
      <c r="D61" s="344"/>
      <c r="E61" s="345"/>
      <c r="F61" s="112"/>
      <c r="G61" s="459"/>
      <c r="H61" s="445"/>
      <c r="I61" s="445"/>
      <c r="J61" s="445"/>
      <c r="K61" s="445"/>
      <c r="L61" s="445"/>
      <c r="M61" s="445"/>
      <c r="N61" s="446"/>
      <c r="O61" s="112"/>
      <c r="P61" s="201" t="s">
        <v>215</v>
      </c>
      <c r="Q61" s="202"/>
      <c r="R61" s="346">
        <f>T9/(1.456)</f>
        <v>50.573076923076925</v>
      </c>
      <c r="S61" s="202"/>
      <c r="T61" s="347">
        <f>IF(ISERROR($T$9/R61-1),"NA",$T$9/R61-1)</f>
        <v>0.45599999999999996</v>
      </c>
    </row>
    <row r="62" spans="1:20">
      <c r="A62" s="340" t="s">
        <v>216</v>
      </c>
      <c r="B62" s="112"/>
      <c r="C62" s="344"/>
      <c r="D62" s="344"/>
      <c r="E62" s="345"/>
      <c r="F62" s="112"/>
      <c r="G62" s="459"/>
      <c r="H62" s="445"/>
      <c r="I62" s="445"/>
      <c r="J62" s="445"/>
      <c r="K62" s="445"/>
      <c r="L62" s="445"/>
      <c r="M62" s="445"/>
      <c r="N62" s="446"/>
      <c r="O62" s="112"/>
      <c r="P62" s="112"/>
      <c r="Q62" s="112"/>
      <c r="R62" s="112"/>
      <c r="S62" s="112"/>
      <c r="T62" s="112"/>
    </row>
    <row r="63" spans="1:20">
      <c r="A63" s="122" t="s">
        <v>213</v>
      </c>
      <c r="B63" s="112"/>
      <c r="C63" s="344">
        <f>IF(ISERROR(E39/K8-1),0,E39/K8-1)</f>
        <v>-3.8359285985567815E-2</v>
      </c>
      <c r="D63" s="344">
        <f>IF(ISERROR(E40/K44-1),0,E40/K44-1)</f>
        <v>-0.10521739130434782</v>
      </c>
      <c r="E63" s="345">
        <f>IF(ISERROR(E42/K57-1),0,E42/K57-1)</f>
        <v>0.20251136931582514</v>
      </c>
      <c r="F63" s="112"/>
      <c r="G63" s="444"/>
      <c r="H63" s="445"/>
      <c r="I63" s="445"/>
      <c r="J63" s="445"/>
      <c r="K63" s="445"/>
      <c r="L63" s="445"/>
      <c r="M63" s="445"/>
      <c r="N63" s="446"/>
      <c r="O63" s="112"/>
      <c r="P63" s="112"/>
      <c r="Q63" s="112"/>
      <c r="R63" s="112"/>
      <c r="S63" s="112"/>
      <c r="T63" s="112"/>
    </row>
    <row r="64" spans="1:20" ht="15.75" thickBot="1">
      <c r="A64" s="201" t="s">
        <v>217</v>
      </c>
      <c r="B64" s="202"/>
      <c r="C64" s="348">
        <f>IF(ISERROR((E45/K8)^(1/2)-1),0,(E45/K8)^(1/2)-1)</f>
        <v>4.5490197530951626E-2</v>
      </c>
      <c r="D64" s="348">
        <f>IF(ISERROR((E46/K44)^(1/2)-1),0,(E46/K44)^(1/2)-1)</f>
        <v>4.2572070285373798E-2</v>
      </c>
      <c r="E64" s="349">
        <f>IF(ISERROR((E48/K57)^(1/2)-1),0,(E48/K57)^(1/2)-1)</f>
        <v>0.18533655078701172</v>
      </c>
      <c r="F64" s="112"/>
      <c r="G64" s="447"/>
      <c r="H64" s="448"/>
      <c r="I64" s="448"/>
      <c r="J64" s="448"/>
      <c r="K64" s="448"/>
      <c r="L64" s="448"/>
      <c r="M64" s="448"/>
      <c r="N64" s="449"/>
      <c r="O64" s="112"/>
      <c r="P64" s="112"/>
      <c r="Q64" s="112"/>
      <c r="R64" s="112"/>
      <c r="S64" s="112"/>
      <c r="T64" s="112"/>
    </row>
    <row r="65" spans="1:20">
      <c r="A65" s="112"/>
      <c r="B65" s="112"/>
      <c r="C65" s="112"/>
      <c r="D65" s="112"/>
      <c r="E65" s="112"/>
      <c r="F65" s="112"/>
      <c r="G65" s="112"/>
      <c r="H65" s="112"/>
      <c r="I65" s="112"/>
      <c r="J65" s="112"/>
      <c r="K65" s="112"/>
      <c r="L65" s="112"/>
      <c r="M65" s="112"/>
      <c r="N65" s="112"/>
      <c r="O65" s="112"/>
      <c r="P65" s="112"/>
      <c r="Q65" s="112"/>
      <c r="R65" s="112"/>
      <c r="S65" s="112"/>
      <c r="T65" s="112"/>
    </row>
    <row r="66" spans="1:20">
      <c r="A66" s="350" t="s">
        <v>218</v>
      </c>
      <c r="B66" s="351"/>
      <c r="C66" s="351"/>
      <c r="D66" s="352" t="s">
        <v>219</v>
      </c>
      <c r="E66" s="353" t="s">
        <v>220</v>
      </c>
      <c r="F66" s="112"/>
      <c r="G66" s="116" t="s">
        <v>221</v>
      </c>
      <c r="H66" s="117"/>
      <c r="I66" s="117"/>
      <c r="J66" s="117"/>
      <c r="K66" s="117"/>
      <c r="L66" s="117"/>
      <c r="M66" s="117"/>
      <c r="N66" s="118"/>
      <c r="O66" s="112"/>
      <c r="P66" s="112"/>
      <c r="Q66" s="112"/>
      <c r="R66" s="112"/>
      <c r="S66" s="112"/>
      <c r="T66" s="112"/>
    </row>
    <row r="67" spans="1:20">
      <c r="A67" s="354"/>
      <c r="E67" s="136"/>
      <c r="F67" s="112"/>
      <c r="G67" s="122"/>
      <c r="H67" s="112"/>
      <c r="I67" s="125"/>
      <c r="J67" s="125"/>
      <c r="K67" s="112"/>
      <c r="L67" s="126" t="s">
        <v>83</v>
      </c>
      <c r="M67" s="126" t="s">
        <v>84</v>
      </c>
      <c r="N67" s="185"/>
      <c r="O67" s="112"/>
      <c r="P67" s="112"/>
      <c r="Q67" s="112"/>
      <c r="R67" s="112"/>
      <c r="S67" s="112"/>
      <c r="T67" s="112"/>
    </row>
    <row r="68" spans="1:20">
      <c r="A68" s="354"/>
      <c r="D68" s="355"/>
      <c r="E68" s="136"/>
      <c r="F68" s="112"/>
      <c r="G68" s="122"/>
      <c r="H68" s="112"/>
      <c r="I68" s="234"/>
      <c r="J68" s="132" t="str">
        <f>"FYE "&amp;TEXT($E$8,"mmmm d")&amp;","</f>
        <v>FYE June 26,</v>
      </c>
      <c r="K68" s="132"/>
      <c r="L68" s="126" t="s">
        <v>87</v>
      </c>
      <c r="M68" s="126" t="s">
        <v>87</v>
      </c>
      <c r="N68" s="251" t="s">
        <v>17</v>
      </c>
      <c r="O68" s="112"/>
      <c r="P68" s="112"/>
      <c r="Q68" s="112"/>
      <c r="R68" s="112"/>
      <c r="S68" s="112"/>
      <c r="T68" s="112"/>
    </row>
    <row r="69" spans="1:20">
      <c r="A69" s="354"/>
      <c r="D69" s="355"/>
      <c r="E69" s="136"/>
      <c r="F69" s="112"/>
      <c r="G69" s="356"/>
      <c r="H69" s="113"/>
      <c r="I69" s="139"/>
      <c r="J69" s="140">
        <f>+J27</f>
        <v>44008</v>
      </c>
      <c r="K69" s="140">
        <f>+K27</f>
        <v>44373</v>
      </c>
      <c r="L69" s="141">
        <f>+L27</f>
        <v>44009</v>
      </c>
      <c r="M69" s="142">
        <f>+M27</f>
        <v>44373</v>
      </c>
      <c r="N69" s="259">
        <f>+N27</f>
        <v>44373</v>
      </c>
      <c r="O69" s="112"/>
      <c r="P69" s="112"/>
      <c r="Q69" s="112"/>
      <c r="R69" s="112"/>
      <c r="S69" s="112"/>
      <c r="T69" s="112"/>
    </row>
    <row r="70" spans="1:20">
      <c r="E70" s="239"/>
      <c r="F70" s="112"/>
      <c r="G70" s="122" t="s">
        <v>182</v>
      </c>
      <c r="H70" s="112"/>
      <c r="I70" s="186"/>
      <c r="J70" s="187">
        <v>109</v>
      </c>
      <c r="K70" s="187">
        <v>96</v>
      </c>
      <c r="L70" s="188">
        <v>36</v>
      </c>
      <c r="M70" s="189">
        <v>24</v>
      </c>
      <c r="N70" s="357">
        <f>K70+M70-L70</f>
        <v>84</v>
      </c>
      <c r="O70" s="112"/>
      <c r="P70" s="112"/>
      <c r="Q70" s="112"/>
      <c r="R70" s="112"/>
      <c r="S70" s="112"/>
      <c r="T70" s="112"/>
    </row>
    <row r="71" spans="1:20">
      <c r="E71" s="239"/>
      <c r="F71" s="112"/>
      <c r="G71" s="201" t="s">
        <v>161</v>
      </c>
      <c r="H71" s="202"/>
      <c r="I71" s="358"/>
      <c r="J71" s="191">
        <v>95</v>
      </c>
      <c r="K71" s="191">
        <v>108</v>
      </c>
      <c r="L71" s="192">
        <v>23</v>
      </c>
      <c r="M71" s="193">
        <v>20</v>
      </c>
      <c r="N71" s="359">
        <f>K71+M71-L71</f>
        <v>105</v>
      </c>
      <c r="O71" s="246"/>
      <c r="P71" s="112"/>
      <c r="Q71" s="112"/>
      <c r="R71" s="112"/>
      <c r="S71" s="112"/>
      <c r="T71" s="112"/>
    </row>
    <row r="72" spans="1:20">
      <c r="E72" s="239"/>
      <c r="F72" s="112"/>
      <c r="G72" s="351"/>
      <c r="H72" s="351"/>
      <c r="I72" s="360"/>
      <c r="J72" s="360"/>
      <c r="K72" s="360"/>
      <c r="L72" s="360"/>
      <c r="M72" s="360"/>
      <c r="N72" s="361"/>
      <c r="O72" s="112"/>
      <c r="P72" s="112"/>
      <c r="Q72" s="112"/>
      <c r="R72" s="112"/>
      <c r="S72" s="112"/>
      <c r="T72" s="112"/>
    </row>
    <row r="73" spans="1:20">
      <c r="A73" s="362"/>
      <c r="B73" s="362"/>
      <c r="C73" s="362"/>
      <c r="D73" s="202"/>
      <c r="E73" s="169"/>
      <c r="F73" s="112"/>
      <c r="G73" s="134"/>
      <c r="H73" s="134"/>
      <c r="I73" s="363"/>
      <c r="J73" s="363"/>
      <c r="K73" s="363"/>
      <c r="L73" s="363"/>
      <c r="M73" s="363"/>
      <c r="N73" s="363"/>
      <c r="O73" s="112"/>
      <c r="P73" s="112"/>
      <c r="Q73" s="112"/>
      <c r="R73" s="112"/>
      <c r="S73" s="112"/>
      <c r="T73" s="112"/>
    </row>
  </sheetData>
  <mergeCells count="6">
    <mergeCell ref="G63:N64"/>
    <mergeCell ref="P2:T2"/>
    <mergeCell ref="A18:E21"/>
    <mergeCell ref="A24:E27"/>
    <mergeCell ref="A30:E35"/>
    <mergeCell ref="G60:N6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A8942-4C62-4FAA-B353-8CB1F2025CAE}">
  <dimension ref="A1:U73"/>
  <sheetViews>
    <sheetView showGridLines="0" tabSelected="1" topLeftCell="A42" workbookViewId="0">
      <selection activeCell="S62" sqref="S62"/>
    </sheetView>
  </sheetViews>
  <sheetFormatPr defaultRowHeight="15"/>
  <cols>
    <col min="4" max="4" width="10.5703125" bestFit="1" customWidth="1"/>
    <col min="5" max="5" width="13.140625" bestFit="1" customWidth="1"/>
    <col min="7" max="7" width="15.5703125" customWidth="1"/>
    <col min="12" max="13" width="10.42578125" bestFit="1" customWidth="1"/>
    <col min="14" max="14" width="10.140625" bestFit="1" customWidth="1"/>
    <col min="16" max="16" width="20.7109375" customWidth="1"/>
    <col min="17" max="17" width="10.140625" customWidth="1"/>
    <col min="18" max="18" width="11.140625" bestFit="1" customWidth="1"/>
    <col min="19" max="19" width="11.85546875" customWidth="1"/>
    <col min="20" max="20" width="10.42578125" bestFit="1" customWidth="1"/>
  </cols>
  <sheetData>
    <row r="1" spans="1:21" ht="20.25">
      <c r="A1" s="111" t="str">
        <f>"Acquisition of "&amp;E5&amp;" by "&amp;E6</f>
        <v>Acquisition of Cypress by Infineon</v>
      </c>
      <c r="B1" s="112"/>
      <c r="C1" s="112"/>
      <c r="D1" s="112"/>
      <c r="E1" s="112"/>
      <c r="F1" s="112"/>
      <c r="G1" s="112"/>
      <c r="H1" s="112"/>
      <c r="I1" s="112"/>
      <c r="J1" s="112"/>
      <c r="K1" s="112"/>
      <c r="L1" s="112"/>
      <c r="M1" s="112"/>
      <c r="N1" s="112"/>
      <c r="O1" s="112"/>
      <c r="P1" s="113"/>
      <c r="Q1" s="113"/>
      <c r="R1" s="113"/>
      <c r="S1" s="113"/>
      <c r="T1" s="113"/>
    </row>
    <row r="2" spans="1:21">
      <c r="A2" s="114" t="str">
        <f>E9&amp;" in millions, except per share data"</f>
        <v>USD in millions, except per share data</v>
      </c>
      <c r="B2" s="112"/>
      <c r="C2" s="112"/>
      <c r="D2" s="112"/>
      <c r="E2" s="112"/>
      <c r="F2" s="112"/>
      <c r="G2" s="112"/>
      <c r="H2" s="112"/>
      <c r="I2" s="112"/>
      <c r="J2" s="112"/>
      <c r="K2" s="112"/>
      <c r="L2" s="112"/>
      <c r="M2" s="112"/>
      <c r="N2" s="112"/>
      <c r="O2" s="112"/>
      <c r="P2" s="450"/>
      <c r="Q2" s="450"/>
      <c r="R2" s="450"/>
      <c r="S2" s="450"/>
      <c r="T2" s="450"/>
    </row>
    <row r="3" spans="1:21" ht="15.75" thickBot="1">
      <c r="A3" s="112"/>
      <c r="B3" s="112"/>
      <c r="C3" s="112"/>
      <c r="D3" s="112"/>
      <c r="E3" s="112"/>
      <c r="F3" s="112"/>
      <c r="G3" s="112"/>
      <c r="H3" s="112"/>
      <c r="I3" s="112"/>
      <c r="J3" s="112"/>
      <c r="K3" s="112"/>
      <c r="L3" s="112"/>
      <c r="M3" s="112"/>
      <c r="N3" s="112"/>
      <c r="O3" s="112"/>
      <c r="P3" s="112"/>
      <c r="Q3" s="112"/>
      <c r="R3" s="112"/>
      <c r="S3" s="115"/>
      <c r="T3" s="112"/>
    </row>
    <row r="4" spans="1:21">
      <c r="A4" s="116" t="s">
        <v>80</v>
      </c>
      <c r="B4" s="117"/>
      <c r="C4" s="117"/>
      <c r="D4" s="117"/>
      <c r="E4" s="118"/>
      <c r="F4" s="112"/>
      <c r="G4" s="119" t="s">
        <v>81</v>
      </c>
      <c r="H4" s="120"/>
      <c r="I4" s="120"/>
      <c r="J4" s="120"/>
      <c r="K4" s="120"/>
      <c r="L4" s="120"/>
      <c r="M4" s="120"/>
      <c r="N4" s="121"/>
      <c r="O4" s="112"/>
      <c r="P4" s="116" t="s">
        <v>82</v>
      </c>
      <c r="Q4" s="117"/>
      <c r="R4" s="117"/>
      <c r="S4" s="117"/>
      <c r="T4" s="118"/>
    </row>
    <row r="5" spans="1:21">
      <c r="A5" s="122" t="s">
        <v>23</v>
      </c>
      <c r="B5" s="112"/>
      <c r="C5" s="112"/>
      <c r="D5" s="123"/>
      <c r="E5" s="364" t="s">
        <v>40</v>
      </c>
      <c r="F5" s="112"/>
      <c r="G5" s="124"/>
      <c r="H5" s="125"/>
      <c r="I5" s="125"/>
      <c r="J5" s="125"/>
      <c r="K5" s="112"/>
      <c r="L5" s="126" t="s">
        <v>83</v>
      </c>
      <c r="M5" s="126" t="s">
        <v>84</v>
      </c>
      <c r="N5" s="127"/>
      <c r="O5" s="112"/>
      <c r="P5" s="122" t="s">
        <v>85</v>
      </c>
      <c r="Q5" s="112"/>
      <c r="R5" s="112"/>
      <c r="S5" s="128"/>
      <c r="T5" s="129">
        <v>23.85</v>
      </c>
    </row>
    <row r="6" spans="1:21">
      <c r="A6" s="122" t="s">
        <v>24</v>
      </c>
      <c r="B6" s="112"/>
      <c r="C6" s="112"/>
      <c r="D6" s="123"/>
      <c r="E6" s="365" t="s">
        <v>243</v>
      </c>
      <c r="F6" s="112"/>
      <c r="G6" s="130"/>
      <c r="H6" s="125"/>
      <c r="I6" s="131"/>
      <c r="J6" s="132" t="str">
        <f>"FYE "&amp;TEXT($E$8,"mmmm d")&amp;","</f>
        <v>FYE December 29,</v>
      </c>
      <c r="K6" s="132"/>
      <c r="L6" s="126" t="s">
        <v>87</v>
      </c>
      <c r="M6" s="126" t="s">
        <v>87</v>
      </c>
      <c r="N6" s="133" t="s">
        <v>17</v>
      </c>
      <c r="O6" s="112"/>
      <c r="P6" s="122" t="s">
        <v>88</v>
      </c>
      <c r="Q6" s="134"/>
      <c r="R6" s="134"/>
      <c r="S6" s="134"/>
      <c r="T6" s="135">
        <f>+S7*S8</f>
        <v>0</v>
      </c>
    </row>
    <row r="7" spans="1:21">
      <c r="A7" s="122" t="s">
        <v>89</v>
      </c>
      <c r="B7" s="112"/>
      <c r="C7" s="112"/>
      <c r="D7" s="123"/>
      <c r="E7" s="366">
        <v>43619</v>
      </c>
      <c r="F7" s="112"/>
      <c r="G7" s="137"/>
      <c r="H7" s="138"/>
      <c r="I7" s="139"/>
      <c r="J7" s="140">
        <f>E8-365</f>
        <v>43463</v>
      </c>
      <c r="K7" s="140">
        <f>E8</f>
        <v>43828</v>
      </c>
      <c r="L7" s="141">
        <f>+M7-364</f>
        <v>43464</v>
      </c>
      <c r="M7" s="142">
        <v>43828</v>
      </c>
      <c r="N7" s="143">
        <f>+M7</f>
        <v>43828</v>
      </c>
      <c r="O7" s="112"/>
      <c r="P7" s="46" t="s">
        <v>90</v>
      </c>
      <c r="Q7" s="112"/>
      <c r="R7" s="112"/>
      <c r="S7" s="144">
        <v>0</v>
      </c>
      <c r="T7" s="145"/>
    </row>
    <row r="8" spans="1:21">
      <c r="A8" s="122" t="s">
        <v>91</v>
      </c>
      <c r="B8" s="112"/>
      <c r="C8" s="112"/>
      <c r="D8" s="146"/>
      <c r="E8" s="366">
        <v>43828</v>
      </c>
      <c r="F8" s="112"/>
      <c r="G8" s="147" t="s">
        <v>92</v>
      </c>
      <c r="H8" s="148"/>
      <c r="I8" s="149"/>
      <c r="J8" s="150">
        <v>2484</v>
      </c>
      <c r="K8" s="150">
        <v>2205</v>
      </c>
      <c r="L8" s="151">
        <v>604</v>
      </c>
      <c r="M8" s="152">
        <v>560</v>
      </c>
      <c r="N8" s="153">
        <f>K8+M8-L8</f>
        <v>2161</v>
      </c>
      <c r="O8" s="112"/>
      <c r="P8" s="46" t="s">
        <v>93</v>
      </c>
      <c r="Q8" s="112"/>
      <c r="R8" s="112"/>
      <c r="S8" s="154">
        <v>0</v>
      </c>
      <c r="T8" s="145"/>
    </row>
    <row r="9" spans="1:21">
      <c r="A9" s="122" t="s">
        <v>94</v>
      </c>
      <c r="B9" s="112"/>
      <c r="C9" s="112"/>
      <c r="D9" s="112"/>
      <c r="E9" s="365" t="s">
        <v>95</v>
      </c>
      <c r="F9" s="112"/>
      <c r="G9" s="155" t="s">
        <v>96</v>
      </c>
      <c r="H9" s="112"/>
      <c r="I9" s="156"/>
      <c r="J9" s="157">
        <v>2319</v>
      </c>
      <c r="K9" s="157">
        <v>2082</v>
      </c>
      <c r="L9" s="158">
        <v>379</v>
      </c>
      <c r="M9" s="159">
        <v>347</v>
      </c>
      <c r="N9" s="160">
        <f>K9+M9-L9</f>
        <v>2050</v>
      </c>
      <c r="O9" s="161"/>
      <c r="P9" s="162" t="s">
        <v>97</v>
      </c>
      <c r="Q9" s="148"/>
      <c r="R9" s="148"/>
      <c r="S9" s="148"/>
      <c r="T9" s="163">
        <f>+T5+T6</f>
        <v>23.85</v>
      </c>
    </row>
    <row r="10" spans="1:21">
      <c r="A10" s="112" t="s">
        <v>98</v>
      </c>
      <c r="B10" s="112"/>
      <c r="C10" s="112"/>
      <c r="D10" s="112"/>
      <c r="E10" s="365" t="s">
        <v>99</v>
      </c>
      <c r="F10" s="112"/>
      <c r="G10" s="164" t="s">
        <v>100</v>
      </c>
      <c r="H10" s="112"/>
      <c r="I10" s="165"/>
      <c r="J10" s="165">
        <f>+J8-J9</f>
        <v>165</v>
      </c>
      <c r="K10" s="165">
        <f>+K8-K9</f>
        <v>123</v>
      </c>
      <c r="L10" s="166">
        <f>+L8-L9</f>
        <v>225</v>
      </c>
      <c r="M10" s="167">
        <f>+M8-M9</f>
        <v>213</v>
      </c>
      <c r="N10" s="153">
        <f>+N8-N9</f>
        <v>111</v>
      </c>
      <c r="O10" s="112"/>
      <c r="P10" s="168" t="s">
        <v>101</v>
      </c>
      <c r="Q10" s="112"/>
      <c r="R10" s="112"/>
      <c r="S10" s="112"/>
      <c r="T10" s="169">
        <f>+T27</f>
        <v>382.53417190775679</v>
      </c>
    </row>
    <row r="11" spans="1:21">
      <c r="A11" s="122" t="s">
        <v>102</v>
      </c>
      <c r="B11" s="112"/>
      <c r="C11" s="112"/>
      <c r="D11" s="112"/>
      <c r="E11" s="367">
        <v>0.21</v>
      </c>
      <c r="F11" s="112"/>
      <c r="G11" s="155" t="s">
        <v>103</v>
      </c>
      <c r="H11" s="170"/>
      <c r="I11" s="156"/>
      <c r="J11" s="171">
        <v>0</v>
      </c>
      <c r="K11" s="157">
        <v>0</v>
      </c>
      <c r="L11" s="172">
        <v>222</v>
      </c>
      <c r="M11" s="173">
        <v>180</v>
      </c>
      <c r="N11" s="174">
        <f>K11+M11-L11</f>
        <v>-42</v>
      </c>
      <c r="O11" s="112"/>
      <c r="P11" s="175" t="s">
        <v>104</v>
      </c>
      <c r="Q11" s="112"/>
      <c r="R11" s="112"/>
      <c r="S11" s="112"/>
      <c r="T11" s="176">
        <f>+T10*T9</f>
        <v>9123.44</v>
      </c>
    </row>
    <row r="12" spans="1:21">
      <c r="A12" s="177" t="s">
        <v>105</v>
      </c>
      <c r="B12" s="178"/>
      <c r="C12" s="178"/>
      <c r="D12" s="179"/>
      <c r="E12" s="180" t="s">
        <v>106</v>
      </c>
      <c r="F12" s="112"/>
      <c r="G12" s="164" t="s">
        <v>107</v>
      </c>
      <c r="H12" s="170"/>
      <c r="I12" s="165"/>
      <c r="J12" s="181">
        <f>J10-J11</f>
        <v>165</v>
      </c>
      <c r="K12" s="181">
        <f>K10-K11</f>
        <v>123</v>
      </c>
      <c r="L12" s="182">
        <f>L10-L11</f>
        <v>3</v>
      </c>
      <c r="M12" s="183">
        <f>M10-M11</f>
        <v>33</v>
      </c>
      <c r="N12" s="184">
        <f>N10-N11</f>
        <v>153</v>
      </c>
      <c r="O12" s="112"/>
      <c r="P12" s="122"/>
      <c r="Q12" s="112"/>
      <c r="R12" s="112"/>
      <c r="S12" s="112"/>
      <c r="T12" s="185"/>
    </row>
    <row r="13" spans="1:21">
      <c r="A13" s="112" t="s">
        <v>108</v>
      </c>
      <c r="B13" s="112"/>
      <c r="C13" s="112"/>
      <c r="D13" s="112"/>
      <c r="E13" s="368" t="s">
        <v>228</v>
      </c>
      <c r="F13" s="112"/>
      <c r="G13" s="155" t="s">
        <v>110</v>
      </c>
      <c r="H13" s="170"/>
      <c r="I13" s="186"/>
      <c r="J13" s="187">
        <v>3</v>
      </c>
      <c r="K13" s="187">
        <v>-14</v>
      </c>
      <c r="L13" s="188">
        <v>20</v>
      </c>
      <c r="M13" s="189">
        <v>8</v>
      </c>
      <c r="N13" s="174">
        <f>K13+M13-L13</f>
        <v>-26</v>
      </c>
      <c r="O13" s="112"/>
      <c r="P13" s="168" t="s">
        <v>111</v>
      </c>
      <c r="Q13" s="112"/>
      <c r="R13" s="112"/>
      <c r="S13" s="186"/>
      <c r="T13" s="190">
        <v>726</v>
      </c>
      <c r="U13">
        <v>713</v>
      </c>
    </row>
    <row r="14" spans="1:21">
      <c r="A14" s="112" t="s">
        <v>112</v>
      </c>
      <c r="B14" s="112"/>
      <c r="C14" s="112"/>
      <c r="D14" s="112"/>
      <c r="E14" s="368">
        <v>1</v>
      </c>
      <c r="F14" s="112"/>
      <c r="G14" s="155" t="s">
        <v>113</v>
      </c>
      <c r="H14" s="170"/>
      <c r="I14" s="186"/>
      <c r="J14" s="191">
        <v>65</v>
      </c>
      <c r="K14" s="191">
        <v>59</v>
      </c>
      <c r="L14" s="192">
        <v>0</v>
      </c>
      <c r="M14" s="193">
        <v>0</v>
      </c>
      <c r="N14" s="160">
        <f>K14+M14-L14</f>
        <v>59</v>
      </c>
      <c r="O14" s="112"/>
      <c r="P14" s="168" t="s">
        <v>114</v>
      </c>
      <c r="Q14" s="112"/>
      <c r="R14" s="112"/>
      <c r="S14" s="112"/>
      <c r="T14" s="190">
        <v>0</v>
      </c>
    </row>
    <row r="15" spans="1:21">
      <c r="A15" s="112" t="s">
        <v>115</v>
      </c>
      <c r="B15" s="112"/>
      <c r="C15" s="112"/>
      <c r="D15" s="112"/>
      <c r="E15" s="369">
        <v>0</v>
      </c>
      <c r="F15" s="112"/>
      <c r="G15" s="164" t="s">
        <v>116</v>
      </c>
      <c r="H15" s="112"/>
      <c r="I15" s="165"/>
      <c r="J15" s="165">
        <f>J12-SUM(J13:J14)</f>
        <v>97</v>
      </c>
      <c r="K15" s="165">
        <f>K12-SUM(K13:K14)</f>
        <v>78</v>
      </c>
      <c r="L15" s="166">
        <f>L12-SUM(L13:L14)</f>
        <v>-17</v>
      </c>
      <c r="M15" s="167">
        <f>M12-SUM(M13:M14)</f>
        <v>25</v>
      </c>
      <c r="N15" s="153">
        <f>N12-SUM(N13:N14)</f>
        <v>120</v>
      </c>
      <c r="O15" s="112"/>
      <c r="P15" s="168" t="s">
        <v>117</v>
      </c>
      <c r="Q15" s="112"/>
      <c r="R15" s="112"/>
      <c r="S15" s="112"/>
      <c r="T15" s="190">
        <v>0</v>
      </c>
    </row>
    <row r="16" spans="1:21">
      <c r="A16" s="112"/>
      <c r="B16" s="112"/>
      <c r="C16" s="112"/>
      <c r="D16" s="112"/>
      <c r="E16" s="185"/>
      <c r="F16" s="112"/>
      <c r="G16" s="194" t="s">
        <v>118</v>
      </c>
      <c r="H16" s="112"/>
      <c r="I16" s="186"/>
      <c r="J16" s="187">
        <v>-316</v>
      </c>
      <c r="K16" s="187">
        <v>2</v>
      </c>
      <c r="L16" s="188">
        <v>-331</v>
      </c>
      <c r="M16" s="189">
        <v>5</v>
      </c>
      <c r="N16" s="174">
        <f>K16+M16-L16</f>
        <v>338</v>
      </c>
      <c r="O16" s="112"/>
      <c r="P16" s="168" t="s">
        <v>119</v>
      </c>
      <c r="Q16" s="112"/>
      <c r="R16" s="112"/>
      <c r="S16" s="112"/>
      <c r="T16" s="190">
        <f>-(415)</f>
        <v>-415</v>
      </c>
    </row>
    <row r="17" spans="1:21">
      <c r="A17" s="195" t="s">
        <v>120</v>
      </c>
      <c r="B17" s="196"/>
      <c r="C17" s="196"/>
      <c r="D17" s="197"/>
      <c r="E17" s="198"/>
      <c r="F17" s="112"/>
      <c r="G17" s="194" t="s">
        <v>121</v>
      </c>
      <c r="H17" s="112"/>
      <c r="I17" s="186"/>
      <c r="J17" s="187">
        <v>0</v>
      </c>
      <c r="K17" s="187">
        <v>0</v>
      </c>
      <c r="L17" s="188">
        <v>0.87</v>
      </c>
      <c r="M17" s="189"/>
      <c r="N17" s="199">
        <f>K17+M17-L17</f>
        <v>-0.87</v>
      </c>
      <c r="O17" s="112"/>
      <c r="P17" s="175" t="s">
        <v>122</v>
      </c>
      <c r="Q17" s="112"/>
      <c r="R17" s="112"/>
      <c r="S17" s="112"/>
      <c r="T17" s="200">
        <f>SUM(T11:T16)</f>
        <v>9434.44</v>
      </c>
    </row>
    <row r="18" spans="1:21">
      <c r="A18" s="451" t="s">
        <v>244</v>
      </c>
      <c r="B18" s="445"/>
      <c r="C18" s="445"/>
      <c r="D18" s="445"/>
      <c r="E18" s="452"/>
      <c r="F18" s="112"/>
      <c r="G18" s="194" t="s">
        <v>124</v>
      </c>
      <c r="H18" s="112"/>
      <c r="I18" s="186"/>
      <c r="J18" s="191">
        <v>57</v>
      </c>
      <c r="K18" s="191">
        <v>36</v>
      </c>
      <c r="L18" s="192">
        <v>46</v>
      </c>
      <c r="M18" s="193">
        <v>-1</v>
      </c>
      <c r="N18" s="199">
        <f>K18+M18-L18</f>
        <v>-11</v>
      </c>
      <c r="O18" s="112"/>
      <c r="P18" s="201"/>
      <c r="Q18" s="202"/>
      <c r="R18" s="202"/>
      <c r="S18" s="202"/>
      <c r="T18" s="203"/>
    </row>
    <row r="19" spans="1:21" ht="15.75" thickBot="1">
      <c r="A19" s="445"/>
      <c r="B19" s="445"/>
      <c r="C19" s="445"/>
      <c r="D19" s="445"/>
      <c r="E19" s="452"/>
      <c r="F19" s="112"/>
      <c r="G19" s="164" t="s">
        <v>125</v>
      </c>
      <c r="H19" s="112"/>
      <c r="I19" s="165"/>
      <c r="J19" s="204">
        <f>J15-SUM(J16:J18)</f>
        <v>356</v>
      </c>
      <c r="K19" s="204">
        <f>K15-SUM(K16:K18)</f>
        <v>40</v>
      </c>
      <c r="L19" s="205">
        <f>L15-SUM(L16:L18)</f>
        <v>267.13</v>
      </c>
      <c r="M19" s="206">
        <f>M15-SUM(M16:M18)</f>
        <v>21</v>
      </c>
      <c r="N19" s="207">
        <f>N15-SUM(N16:N18)</f>
        <v>-206.13</v>
      </c>
      <c r="O19" s="112"/>
      <c r="P19" s="112"/>
      <c r="Q19" s="112"/>
      <c r="R19" s="112"/>
      <c r="S19" s="112"/>
      <c r="T19" s="112"/>
    </row>
    <row r="20" spans="1:21" ht="15.75" thickTop="1">
      <c r="A20" s="445"/>
      <c r="B20" s="445"/>
      <c r="C20" s="445"/>
      <c r="D20" s="445"/>
      <c r="E20" s="452"/>
      <c r="F20" s="112"/>
      <c r="G20" s="208" t="s">
        <v>126</v>
      </c>
      <c r="H20" s="112"/>
      <c r="I20" s="209"/>
      <c r="J20" s="209">
        <f>IF(ISERROR(J16/J15),"NA",(J16/J15))</f>
        <v>-3.2577319587628866</v>
      </c>
      <c r="K20" s="210">
        <f>IF(ISERROR(K16/K15),"NA",(K16/K15))</f>
        <v>2.564102564102564E-2</v>
      </c>
      <c r="L20" s="209">
        <f>IF(ISERROR(L16/L15),"NA",(L16/L15))</f>
        <v>19.470588235294116</v>
      </c>
      <c r="M20" s="210">
        <f>IF(ISERROR(M16/M15),"NA",(M16/M15))</f>
        <v>0.2</v>
      </c>
      <c r="N20" s="211">
        <f>IF(ISERROR(N16/N15),"NA",(N16/N15))</f>
        <v>2.8166666666666669</v>
      </c>
      <c r="O20" s="112"/>
      <c r="P20" s="116" t="s">
        <v>127</v>
      </c>
      <c r="Q20" s="212"/>
      <c r="R20" s="212"/>
      <c r="S20" s="212"/>
      <c r="T20" s="213"/>
    </row>
    <row r="21" spans="1:21">
      <c r="A21" s="453"/>
      <c r="B21" s="453"/>
      <c r="C21" s="453"/>
      <c r="D21" s="453"/>
      <c r="E21" s="454"/>
      <c r="F21" s="112"/>
      <c r="G21" s="137" t="s">
        <v>128</v>
      </c>
      <c r="H21" s="112"/>
      <c r="I21" s="186"/>
      <c r="J21" s="187">
        <v>372</v>
      </c>
      <c r="K21" s="187">
        <v>385</v>
      </c>
      <c r="L21" s="188">
        <v>370</v>
      </c>
      <c r="M21" s="189">
        <v>391</v>
      </c>
      <c r="N21" s="174">
        <f>+IF(ISERROR(K21+M21-L21),"NA",K21+M21-L21)</f>
        <v>406</v>
      </c>
      <c r="O21" s="112"/>
      <c r="P21" s="214" t="s">
        <v>129</v>
      </c>
      <c r="Q21" s="215"/>
      <c r="R21" s="215"/>
      <c r="S21" s="215"/>
      <c r="T21" s="190">
        <v>374</v>
      </c>
    </row>
    <row r="22" spans="1:21">
      <c r="A22" s="195"/>
      <c r="B22" s="196"/>
      <c r="C22" s="196"/>
      <c r="D22" s="197"/>
      <c r="E22" s="198"/>
      <c r="F22" s="112"/>
      <c r="G22" s="216" t="s">
        <v>130</v>
      </c>
      <c r="H22" s="217"/>
      <c r="I22" s="218"/>
      <c r="J22" s="218">
        <f>+IF(ISERROR(J19/J21),"NA",J19/J21)</f>
        <v>0.956989247311828</v>
      </c>
      <c r="K22" s="218">
        <f>+IF(ISERROR(K19/K21),"NA",K19/K21)</f>
        <v>0.1038961038961039</v>
      </c>
      <c r="L22" s="219">
        <f>+IF(ISERROR(L19/L21),"NA",L19/L21)</f>
        <v>0.72197297297297292</v>
      </c>
      <c r="M22" s="220">
        <f>+IF(ISERROR(M19/M21),"NA",M19/M21)</f>
        <v>5.3708439897698211E-2</v>
      </c>
      <c r="N22" s="221">
        <f>+IF(ISERROR(K22+M22-L22),"NA",K22+M22-L22)</f>
        <v>-0.56436842917917085</v>
      </c>
      <c r="O22" s="112"/>
      <c r="P22" s="214" t="s">
        <v>131</v>
      </c>
      <c r="Q22" s="215"/>
      <c r="R22" s="215"/>
      <c r="S22" s="215"/>
      <c r="T22" s="222">
        <f>+S37</f>
        <v>1</v>
      </c>
    </row>
    <row r="23" spans="1:21">
      <c r="A23" s="195" t="s">
        <v>132</v>
      </c>
      <c r="B23" s="223"/>
      <c r="C23" s="223"/>
      <c r="D23" s="223"/>
      <c r="E23" s="224"/>
      <c r="F23" s="112"/>
      <c r="G23" s="225"/>
      <c r="H23" s="202"/>
      <c r="I23" s="202"/>
      <c r="J23" s="202"/>
      <c r="K23" s="202"/>
      <c r="L23" s="202"/>
      <c r="M23" s="202"/>
      <c r="N23" s="226"/>
      <c r="O23" s="112"/>
      <c r="P23" s="214" t="s">
        <v>133</v>
      </c>
      <c r="Q23" s="215"/>
      <c r="R23" s="215"/>
      <c r="S23" s="215"/>
      <c r="T23" s="222">
        <f>IF(ISERROR(-T37/T5),0,-T37/T5)</f>
        <v>-0.46582809224318655</v>
      </c>
    </row>
    <row r="24" spans="1:21">
      <c r="A24" s="451" t="s">
        <v>245</v>
      </c>
      <c r="B24" s="453"/>
      <c r="C24" s="453"/>
      <c r="D24" s="453"/>
      <c r="E24" s="454"/>
      <c r="F24" s="112"/>
      <c r="G24" s="227" t="s">
        <v>135</v>
      </c>
      <c r="H24" s="117"/>
      <c r="I24" s="117"/>
      <c r="J24" s="117"/>
      <c r="K24" s="117"/>
      <c r="L24" s="117"/>
      <c r="M24" s="117"/>
      <c r="N24" s="228"/>
      <c r="O24" s="112"/>
      <c r="P24" s="229" t="s">
        <v>136</v>
      </c>
      <c r="Q24" s="230"/>
      <c r="R24" s="230"/>
      <c r="S24" s="230"/>
      <c r="T24" s="231">
        <f>IF(ISERROR(T22+T23),0,T22+T23)</f>
        <v>0.53417190775681345</v>
      </c>
    </row>
    <row r="25" spans="1:21">
      <c r="A25" s="453"/>
      <c r="B25" s="453"/>
      <c r="C25" s="453"/>
      <c r="D25" s="453"/>
      <c r="E25" s="454"/>
      <c r="F25" s="232"/>
      <c r="G25" s="137"/>
      <c r="H25" s="112"/>
      <c r="I25" s="125"/>
      <c r="J25" s="125"/>
      <c r="K25" s="112"/>
      <c r="L25" s="126" t="s">
        <v>83</v>
      </c>
      <c r="M25" s="126" t="s">
        <v>84</v>
      </c>
      <c r="N25" s="127"/>
      <c r="O25" s="112"/>
      <c r="P25" s="168" t="s">
        <v>137</v>
      </c>
      <c r="Q25" s="215"/>
      <c r="R25" s="215"/>
      <c r="S25" s="215"/>
      <c r="T25" s="233">
        <f>+T44</f>
        <v>0</v>
      </c>
    </row>
    <row r="26" spans="1:21">
      <c r="A26" s="453"/>
      <c r="B26" s="453"/>
      <c r="C26" s="453"/>
      <c r="D26" s="453"/>
      <c r="E26" s="454"/>
      <c r="F26" s="112"/>
      <c r="G26" s="137"/>
      <c r="H26" s="112"/>
      <c r="I26" s="234"/>
      <c r="J26" s="132" t="str">
        <f>"FYE "&amp;TEXT($E$8,"mmmm d")&amp;","</f>
        <v>FYE December 29,</v>
      </c>
      <c r="K26" s="132"/>
      <c r="L26" s="126" t="s">
        <v>87</v>
      </c>
      <c r="M26" s="126" t="s">
        <v>87</v>
      </c>
      <c r="N26" s="133" t="s">
        <v>17</v>
      </c>
      <c r="O26" s="112"/>
      <c r="P26" s="168" t="s">
        <v>138</v>
      </c>
      <c r="Q26" s="215"/>
      <c r="R26" s="215"/>
      <c r="S26" s="215"/>
      <c r="T26" s="190">
        <v>8</v>
      </c>
      <c r="U26" t="s">
        <v>246</v>
      </c>
    </row>
    <row r="27" spans="1:21">
      <c r="A27" s="453"/>
      <c r="B27" s="453"/>
      <c r="C27" s="453"/>
      <c r="D27" s="453"/>
      <c r="E27" s="454"/>
      <c r="F27" s="112"/>
      <c r="G27" s="235"/>
      <c r="H27" s="113"/>
      <c r="I27" s="139"/>
      <c r="J27" s="140">
        <f>+J7</f>
        <v>43463</v>
      </c>
      <c r="K27" s="140">
        <f>+K7</f>
        <v>43828</v>
      </c>
      <c r="L27" s="141">
        <f>+L7</f>
        <v>43464</v>
      </c>
      <c r="M27" s="142">
        <f>+M7</f>
        <v>43828</v>
      </c>
      <c r="N27" s="143">
        <f>+N7</f>
        <v>43828</v>
      </c>
      <c r="O27" s="236"/>
      <c r="P27" s="229" t="s">
        <v>139</v>
      </c>
      <c r="Q27" s="215"/>
      <c r="R27" s="215"/>
      <c r="S27" s="215"/>
      <c r="T27" s="237">
        <f>T21+SUM(T24:T26)</f>
        <v>382.53417190775679</v>
      </c>
      <c r="U27" t="s">
        <v>247</v>
      </c>
    </row>
    <row r="28" spans="1:21">
      <c r="A28" s="238"/>
      <c r="E28" s="239"/>
      <c r="F28" s="236"/>
      <c r="G28" s="137" t="s">
        <v>140</v>
      </c>
      <c r="H28" s="112"/>
      <c r="I28" s="240"/>
      <c r="J28" s="240">
        <f>J10</f>
        <v>165</v>
      </c>
      <c r="K28" s="240">
        <f>K10</f>
        <v>123</v>
      </c>
      <c r="L28" s="241">
        <f>L10</f>
        <v>225</v>
      </c>
      <c r="M28" s="242">
        <f>M10</f>
        <v>213</v>
      </c>
      <c r="N28" s="243">
        <f>N10</f>
        <v>111</v>
      </c>
      <c r="O28" s="112"/>
      <c r="P28" s="122"/>
      <c r="Q28" s="112"/>
      <c r="R28" s="112"/>
      <c r="S28" s="112"/>
      <c r="T28" s="185"/>
      <c r="U28" t="s">
        <v>248</v>
      </c>
    </row>
    <row r="29" spans="1:21">
      <c r="A29" s="244" t="s">
        <v>141</v>
      </c>
      <c r="E29" s="239"/>
      <c r="F29" s="236"/>
      <c r="G29" s="137" t="s">
        <v>142</v>
      </c>
      <c r="H29" s="112"/>
      <c r="I29" s="186"/>
      <c r="J29" s="191">
        <v>0</v>
      </c>
      <c r="K29" s="191">
        <v>0</v>
      </c>
      <c r="L29" s="192">
        <v>0</v>
      </c>
      <c r="M29" s="193">
        <v>0</v>
      </c>
      <c r="N29" s="245">
        <f>K29+M29-L29</f>
        <v>0</v>
      </c>
      <c r="O29" s="246"/>
      <c r="P29" s="247" t="s">
        <v>143</v>
      </c>
      <c r="Q29" s="248"/>
      <c r="R29" s="248"/>
      <c r="S29" s="248"/>
      <c r="T29" s="249"/>
    </row>
    <row r="30" spans="1:21">
      <c r="A30" s="455" t="s">
        <v>249</v>
      </c>
      <c r="B30" s="445"/>
      <c r="C30" s="445"/>
      <c r="D30" s="445"/>
      <c r="E30" s="452"/>
      <c r="F30" s="112"/>
      <c r="G30" s="164" t="s">
        <v>145</v>
      </c>
      <c r="H30" s="112"/>
      <c r="I30" s="165"/>
      <c r="J30" s="165">
        <f>SUM(J28:J29)</f>
        <v>165</v>
      </c>
      <c r="K30" s="165">
        <f>SUM(K28:K29)</f>
        <v>123</v>
      </c>
      <c r="L30" s="166">
        <f>SUM(L28:L29)</f>
        <v>225</v>
      </c>
      <c r="M30" s="167">
        <f>SUM(M28:M29)</f>
        <v>213</v>
      </c>
      <c r="N30" s="153">
        <f>SUM(N28:N29)</f>
        <v>111</v>
      </c>
      <c r="O30" s="112"/>
      <c r="P30" s="250"/>
      <c r="Q30" s="126" t="s">
        <v>146</v>
      </c>
      <c r="R30" s="126" t="s">
        <v>147</v>
      </c>
      <c r="S30" s="126" t="s">
        <v>148</v>
      </c>
      <c r="T30" s="251"/>
    </row>
    <row r="31" spans="1:21">
      <c r="A31" s="445"/>
      <c r="B31" s="445"/>
      <c r="C31" s="445"/>
      <c r="D31" s="445"/>
      <c r="E31" s="452"/>
      <c r="F31" s="112"/>
      <c r="G31" s="252" t="s">
        <v>149</v>
      </c>
      <c r="H31" s="134"/>
      <c r="I31" s="253"/>
      <c r="J31" s="253">
        <f>IF(ISERROR(J30/J8),"NA",J30/J8)</f>
        <v>6.6425120772946863E-2</v>
      </c>
      <c r="K31" s="253">
        <f>IF(ISERROR(K30/K8),"NA",K30/K8)</f>
        <v>5.5782312925170066E-2</v>
      </c>
      <c r="L31" s="254">
        <f>IF(ISERROR(L30/L8),"NA",L30/L8)</f>
        <v>0.37251655629139074</v>
      </c>
      <c r="M31" s="255">
        <f>IF(ISERROR(M30/M8),"NA",M30/M8)</f>
        <v>0.38035714285714284</v>
      </c>
      <c r="N31" s="256">
        <f>IF(ISERROR(N30/N8),"NA",N30/N8)</f>
        <v>5.1365108745950946E-2</v>
      </c>
      <c r="O31" s="112"/>
      <c r="P31" s="257" t="s">
        <v>150</v>
      </c>
      <c r="Q31" s="258" t="s">
        <v>151</v>
      </c>
      <c r="R31" s="258" t="s">
        <v>152</v>
      </c>
      <c r="S31" s="258" t="s">
        <v>151</v>
      </c>
      <c r="T31" s="259" t="s">
        <v>153</v>
      </c>
    </row>
    <row r="32" spans="1:21">
      <c r="A32" s="445"/>
      <c r="B32" s="445"/>
      <c r="C32" s="445"/>
      <c r="D32" s="445"/>
      <c r="E32" s="452"/>
      <c r="F32" s="112"/>
      <c r="G32" s="137"/>
      <c r="H32" s="112"/>
      <c r="I32" s="260"/>
      <c r="J32" s="260"/>
      <c r="K32" s="260"/>
      <c r="L32" s="261"/>
      <c r="M32" s="262"/>
      <c r="N32" s="263"/>
      <c r="O32" s="112"/>
      <c r="P32" s="46" t="s">
        <v>154</v>
      </c>
      <c r="Q32" s="264">
        <v>1</v>
      </c>
      <c r="R32" s="265">
        <v>11.11</v>
      </c>
      <c r="S32" s="266">
        <f>+IF(R32&lt;$T$5,Q32,0)</f>
        <v>1</v>
      </c>
      <c r="T32" s="267">
        <f>IF(S32="NA","NA",S32*R32)</f>
        <v>11.11</v>
      </c>
    </row>
    <row r="33" spans="1:20">
      <c r="A33" s="453"/>
      <c r="B33" s="453"/>
      <c r="C33" s="453"/>
      <c r="D33" s="453"/>
      <c r="E33" s="454"/>
      <c r="F33" s="112"/>
      <c r="G33" s="137" t="s">
        <v>155</v>
      </c>
      <c r="H33" s="112"/>
      <c r="I33" s="240"/>
      <c r="J33" s="240">
        <f>J12</f>
        <v>165</v>
      </c>
      <c r="K33" s="240">
        <f>K12</f>
        <v>123</v>
      </c>
      <c r="L33" s="241">
        <f>L12</f>
        <v>3</v>
      </c>
      <c r="M33" s="242">
        <f>M12</f>
        <v>33</v>
      </c>
      <c r="N33" s="243">
        <f>N12</f>
        <v>153</v>
      </c>
      <c r="O33" s="112"/>
      <c r="P33" s="46" t="s">
        <v>156</v>
      </c>
      <c r="Q33" s="264">
        <v>0</v>
      </c>
      <c r="R33" s="268">
        <v>0</v>
      </c>
      <c r="S33" s="266">
        <f>+IF(R33&lt;$T$5,Q33,0)</f>
        <v>0</v>
      </c>
      <c r="T33" s="269">
        <f>IF(S33="NA","NA",S33*R33)</f>
        <v>0</v>
      </c>
    </row>
    <row r="34" spans="1:20">
      <c r="A34" s="453"/>
      <c r="B34" s="453"/>
      <c r="C34" s="453"/>
      <c r="D34" s="453"/>
      <c r="E34" s="454"/>
      <c r="F34" s="236"/>
      <c r="G34" s="137" t="s">
        <v>157</v>
      </c>
      <c r="H34" s="112"/>
      <c r="I34" s="186"/>
      <c r="J34" s="187">
        <v>0</v>
      </c>
      <c r="K34" s="187">
        <v>0</v>
      </c>
      <c r="L34" s="188">
        <v>0</v>
      </c>
      <c r="M34" s="189">
        <v>0</v>
      </c>
      <c r="N34" s="199">
        <f>K34+M34-L34</f>
        <v>0</v>
      </c>
      <c r="O34" s="112"/>
      <c r="P34" s="46" t="s">
        <v>158</v>
      </c>
      <c r="Q34" s="264">
        <v>0</v>
      </c>
      <c r="R34" s="268">
        <v>0</v>
      </c>
      <c r="S34" s="266">
        <f>+IF(R34&lt;$T$5,Q34,0)</f>
        <v>0</v>
      </c>
      <c r="T34" s="270">
        <f>IF(S34="NA","NA",S34*R34)</f>
        <v>0</v>
      </c>
    </row>
    <row r="35" spans="1:20">
      <c r="A35" s="453"/>
      <c r="B35" s="453"/>
      <c r="C35" s="453"/>
      <c r="D35" s="453"/>
      <c r="E35" s="454"/>
      <c r="F35" s="112"/>
      <c r="G35" s="137" t="s">
        <v>159</v>
      </c>
      <c r="H35" s="112"/>
      <c r="I35" s="186"/>
      <c r="J35" s="187">
        <v>0</v>
      </c>
      <c r="K35" s="187">
        <v>0</v>
      </c>
      <c r="L35" s="188">
        <v>0</v>
      </c>
      <c r="M35" s="189">
        <v>0</v>
      </c>
      <c r="N35" s="271">
        <f>K35+M35-L35</f>
        <v>0</v>
      </c>
      <c r="O35" s="246"/>
      <c r="P35" s="46" t="s">
        <v>160</v>
      </c>
      <c r="Q35" s="264">
        <v>0</v>
      </c>
      <c r="R35" s="268">
        <v>0</v>
      </c>
      <c r="S35" s="266">
        <f>+IF(R35&lt;$T$5,Q35,0)</f>
        <v>0</v>
      </c>
      <c r="T35" s="270">
        <f>IF(S35="NA","NA",S35*R35)</f>
        <v>0</v>
      </c>
    </row>
    <row r="36" spans="1:20">
      <c r="A36" s="238"/>
      <c r="B36" s="272"/>
      <c r="C36" s="272"/>
      <c r="D36" s="273"/>
      <c r="E36" s="274"/>
      <c r="F36" s="236"/>
      <c r="G36" s="137" t="s">
        <v>161</v>
      </c>
      <c r="H36" s="112"/>
      <c r="I36" s="186"/>
      <c r="J36" s="266">
        <f>+J71</f>
        <v>96</v>
      </c>
      <c r="K36" s="275">
        <f>+K71</f>
        <v>106</v>
      </c>
      <c r="L36" s="266">
        <f>+L71</f>
        <v>4</v>
      </c>
      <c r="M36" s="275">
        <f>+M71</f>
        <v>6</v>
      </c>
      <c r="N36" s="276">
        <f>+N71</f>
        <v>108</v>
      </c>
      <c r="O36" s="246"/>
      <c r="P36" s="46" t="s">
        <v>162</v>
      </c>
      <c r="Q36" s="277">
        <v>0</v>
      </c>
      <c r="R36" s="278">
        <v>0</v>
      </c>
      <c r="S36" s="279">
        <f>+IF(R36&lt;$T$5,Q36,0)</f>
        <v>0</v>
      </c>
      <c r="T36" s="280">
        <f>IF(S36="NA","NA",S36*R36)</f>
        <v>0</v>
      </c>
    </row>
    <row r="37" spans="1:20">
      <c r="A37" s="116" t="s">
        <v>163</v>
      </c>
      <c r="B37" s="117"/>
      <c r="C37" s="117"/>
      <c r="D37" s="117"/>
      <c r="E37" s="118"/>
      <c r="F37" s="112"/>
      <c r="G37" s="137" t="s">
        <v>164</v>
      </c>
      <c r="H37" s="112"/>
      <c r="I37" s="186"/>
      <c r="J37" s="187">
        <v>0</v>
      </c>
      <c r="K37" s="187">
        <v>0</v>
      </c>
      <c r="L37" s="188">
        <v>0</v>
      </c>
      <c r="M37" s="189">
        <v>0</v>
      </c>
      <c r="N37" s="276">
        <f>K37+M37-L37</f>
        <v>0</v>
      </c>
      <c r="O37" s="125"/>
      <c r="P37" s="162" t="s">
        <v>165</v>
      </c>
      <c r="Q37" s="281">
        <f>SUM(Q32:Q36)</f>
        <v>1</v>
      </c>
      <c r="R37" s="282"/>
      <c r="S37" s="281">
        <f>SUM(S32:S36)</f>
        <v>1</v>
      </c>
      <c r="T37" s="176">
        <f>SUM(T32:T36)</f>
        <v>11.11</v>
      </c>
    </row>
    <row r="38" spans="1:20">
      <c r="A38" s="283" t="s">
        <v>166</v>
      </c>
      <c r="B38" s="178"/>
      <c r="C38" s="112"/>
      <c r="D38" s="112"/>
      <c r="E38" s="284">
        <f>EOMONTH(E8,12)</f>
        <v>44196</v>
      </c>
      <c r="F38" s="285"/>
      <c r="G38" s="137" t="s">
        <v>167</v>
      </c>
      <c r="H38" s="112"/>
      <c r="I38" s="186"/>
      <c r="J38" s="191">
        <v>0</v>
      </c>
      <c r="K38" s="191">
        <v>0</v>
      </c>
      <c r="L38" s="192">
        <v>0</v>
      </c>
      <c r="M38" s="193">
        <v>0</v>
      </c>
      <c r="N38" s="245">
        <f>K38+M38-L38</f>
        <v>0</v>
      </c>
      <c r="O38" s="112"/>
      <c r="P38" s="247" t="s">
        <v>168</v>
      </c>
      <c r="Q38" s="248"/>
      <c r="R38" s="248"/>
      <c r="S38" s="248"/>
      <c r="T38" s="249"/>
    </row>
    <row r="39" spans="1:20">
      <c r="A39" s="283" t="s">
        <v>169</v>
      </c>
      <c r="B39" s="112"/>
      <c r="C39" s="260" t="s">
        <v>170</v>
      </c>
      <c r="D39" s="286"/>
      <c r="E39" s="190">
        <v>2792</v>
      </c>
      <c r="F39" s="112"/>
      <c r="G39" s="164" t="s">
        <v>171</v>
      </c>
      <c r="H39" s="112"/>
      <c r="I39" s="165"/>
      <c r="J39" s="165">
        <f>+J33+SUM(J34:J38)+J29</f>
        <v>261</v>
      </c>
      <c r="K39" s="165">
        <f>+K33+SUM(K34:K38)+K29</f>
        <v>229</v>
      </c>
      <c r="L39" s="166">
        <f>+L33+SUM(L34:L38)+L29</f>
        <v>7</v>
      </c>
      <c r="M39" s="167">
        <f>+M33+SUM(M34:M38)+M29</f>
        <v>39</v>
      </c>
      <c r="N39" s="153">
        <f>+N33+SUM(N34:N38)+N29</f>
        <v>261</v>
      </c>
      <c r="O39" s="112"/>
      <c r="P39" s="287"/>
      <c r="Q39" s="126"/>
      <c r="R39" s="288" t="s">
        <v>172</v>
      </c>
      <c r="S39" s="288" t="s">
        <v>173</v>
      </c>
      <c r="T39" s="289" t="s">
        <v>174</v>
      </c>
    </row>
    <row r="40" spans="1:20">
      <c r="A40" s="283" t="s">
        <v>175</v>
      </c>
      <c r="B40" s="112"/>
      <c r="C40" s="112"/>
      <c r="D40" s="290"/>
      <c r="E40" s="190">
        <v>777</v>
      </c>
      <c r="F40" s="112"/>
      <c r="G40" s="252" t="s">
        <v>149</v>
      </c>
      <c r="H40" s="134"/>
      <c r="I40" s="253"/>
      <c r="J40" s="253">
        <f>IF(ISERROR(J39/J8),"NA",J39/J8)</f>
        <v>0.10507246376811594</v>
      </c>
      <c r="K40" s="253">
        <f>IF(ISERROR(K39/K8),"NA",K39/K8)</f>
        <v>0.10385487528344671</v>
      </c>
      <c r="L40" s="254">
        <f>IF(ISERROR(L39/L8),"NA",L39/L8)</f>
        <v>1.1589403973509934E-2</v>
      </c>
      <c r="M40" s="255">
        <f>IF(ISERROR(M39/M8),"NA",M39/M8)</f>
        <v>6.9642857142857145E-2</v>
      </c>
      <c r="N40" s="256">
        <f>IF(ISERROR(N39/N8),"NA",N39/N8)</f>
        <v>0.12077741786210087</v>
      </c>
      <c r="O40" s="125"/>
      <c r="P40" s="287"/>
      <c r="Q40" s="258" t="s">
        <v>176</v>
      </c>
      <c r="R40" s="291" t="s">
        <v>152</v>
      </c>
      <c r="S40" s="291" t="s">
        <v>177</v>
      </c>
      <c r="T40" s="292" t="s">
        <v>151</v>
      </c>
    </row>
    <row r="41" spans="1:20">
      <c r="A41" s="283" t="s">
        <v>178</v>
      </c>
      <c r="B41" s="112"/>
      <c r="C41" s="112"/>
      <c r="D41" s="293" t="s">
        <v>250</v>
      </c>
      <c r="E41" s="190">
        <f>E40-$K$70</f>
        <v>492</v>
      </c>
      <c r="F41" s="112"/>
      <c r="G41" s="137"/>
      <c r="H41" s="112"/>
      <c r="I41" s="112"/>
      <c r="J41" s="112"/>
      <c r="K41" s="294"/>
      <c r="L41" s="112"/>
      <c r="M41" s="294"/>
      <c r="N41" s="127"/>
      <c r="O41" s="125"/>
      <c r="P41" s="287" t="s">
        <v>180</v>
      </c>
      <c r="Q41" s="264">
        <v>0</v>
      </c>
      <c r="R41" s="265">
        <v>0</v>
      </c>
      <c r="S41" s="295">
        <f>IF(ISERROR(1000/R41),0,(1000/R41))</f>
        <v>0</v>
      </c>
      <c r="T41" s="270">
        <f>+IF(R41&lt;$T$5,IF(ISERROR(Q41/R41),0,Q41/R41),0)</f>
        <v>0</v>
      </c>
    </row>
    <row r="42" spans="1:20">
      <c r="A42" s="283" t="s">
        <v>181</v>
      </c>
      <c r="B42" s="112"/>
      <c r="C42" s="112"/>
      <c r="D42" s="290"/>
      <c r="E42" s="296">
        <v>1.61</v>
      </c>
      <c r="F42" s="112"/>
      <c r="G42" s="137" t="s">
        <v>182</v>
      </c>
      <c r="H42" s="112"/>
      <c r="I42" s="297"/>
      <c r="J42" s="297">
        <f>+J70</f>
        <v>283</v>
      </c>
      <c r="K42" s="297">
        <f>+K70</f>
        <v>285</v>
      </c>
      <c r="L42" s="298">
        <f>+L70</f>
        <v>17</v>
      </c>
      <c r="M42" s="299">
        <f>+M70</f>
        <v>19</v>
      </c>
      <c r="N42" s="300">
        <f>+N70</f>
        <v>287</v>
      </c>
      <c r="O42" s="246"/>
      <c r="P42" s="287" t="s">
        <v>183</v>
      </c>
      <c r="Q42" s="264">
        <v>0</v>
      </c>
      <c r="R42" s="268">
        <v>0</v>
      </c>
      <c r="S42" s="295">
        <f>IF(ISERROR(1000/R42),0,(1000/R42))</f>
        <v>0</v>
      </c>
      <c r="T42" s="270">
        <f>+IF(R42&lt;$T$5,IF(ISERROR(Q42/R42),0,Q42/R42),0)</f>
        <v>0</v>
      </c>
    </row>
    <row r="43" spans="1:20">
      <c r="A43" s="122"/>
      <c r="B43" s="112"/>
      <c r="C43" s="112"/>
      <c r="D43" s="112"/>
      <c r="E43" s="185"/>
      <c r="F43" s="112"/>
      <c r="G43" s="137" t="s">
        <v>184</v>
      </c>
      <c r="H43" s="112"/>
      <c r="I43" s="186"/>
      <c r="J43" s="191">
        <v>0</v>
      </c>
      <c r="K43" s="191">
        <v>0</v>
      </c>
      <c r="L43" s="192">
        <v>0</v>
      </c>
      <c r="M43" s="193">
        <v>0</v>
      </c>
      <c r="N43" s="301">
        <f>K43+M43-L43</f>
        <v>0</v>
      </c>
      <c r="O43" s="112"/>
      <c r="P43" s="287" t="s">
        <v>185</v>
      </c>
      <c r="Q43" s="264">
        <v>0</v>
      </c>
      <c r="R43" s="268">
        <v>0</v>
      </c>
      <c r="S43" s="295">
        <f>IF(ISERROR(1000/R43),0,(1000/R43))</f>
        <v>0</v>
      </c>
      <c r="T43" s="270">
        <f>+IF(R43&lt;$T$5,IF(ISERROR(Q43/R43),0,Q43/R43),0)</f>
        <v>0</v>
      </c>
    </row>
    <row r="44" spans="1:20">
      <c r="A44" s="283" t="s">
        <v>166</v>
      </c>
      <c r="B44" s="112"/>
      <c r="C44" s="112"/>
      <c r="D44" s="112"/>
      <c r="E44" s="284">
        <f>EOMONTH(E38,12)</f>
        <v>44561</v>
      </c>
      <c r="F44" s="112"/>
      <c r="G44" s="164" t="s">
        <v>186</v>
      </c>
      <c r="H44" s="112"/>
      <c r="I44" s="165"/>
      <c r="J44" s="165">
        <f>+J39+SUM(J42:J43)</f>
        <v>544</v>
      </c>
      <c r="K44" s="165">
        <f>+K39+SUM(K42:K43)</f>
        <v>514</v>
      </c>
      <c r="L44" s="166">
        <f>+L39+SUM(L42:L43)</f>
        <v>24</v>
      </c>
      <c r="M44" s="167">
        <f>+M39+SUM(M42:M43)</f>
        <v>58</v>
      </c>
      <c r="N44" s="153">
        <f>+N39+SUM(N42:N43)</f>
        <v>548</v>
      </c>
      <c r="O44" s="112"/>
      <c r="P44" s="302" t="s">
        <v>165</v>
      </c>
      <c r="Q44" s="303"/>
      <c r="R44" s="304"/>
      <c r="S44" s="303"/>
      <c r="T44" s="305">
        <f>SUM(T41:T43)</f>
        <v>0</v>
      </c>
    </row>
    <row r="45" spans="1:20">
      <c r="A45" s="283" t="s">
        <v>187</v>
      </c>
      <c r="B45" s="112"/>
      <c r="C45" s="260" t="s">
        <v>170</v>
      </c>
      <c r="D45" s="286"/>
      <c r="E45" s="190">
        <v>3130</v>
      </c>
      <c r="F45" s="112"/>
      <c r="G45" s="252" t="s">
        <v>149</v>
      </c>
      <c r="H45" s="134"/>
      <c r="I45" s="253"/>
      <c r="J45" s="253">
        <f>IF(ISERROR(J44/J8),"NA",J44/J8)</f>
        <v>0.21900161030595813</v>
      </c>
      <c r="K45" s="253">
        <f>IF(ISERROR(K44/K8),"NA",K44/K8)</f>
        <v>0.23310657596371881</v>
      </c>
      <c r="L45" s="254">
        <f>IF(ISERROR(L44/L8),"NA",L44/L8)</f>
        <v>3.9735099337748346E-2</v>
      </c>
      <c r="M45" s="255">
        <f>IF(ISERROR(M44/M8),"NA",M44/M8)</f>
        <v>0.10357142857142858</v>
      </c>
      <c r="N45" s="256">
        <f>IF(ISERROR(N44/N8),"NA",N44/N8)</f>
        <v>0.25358630263766774</v>
      </c>
      <c r="O45" s="112"/>
      <c r="P45" s="306"/>
      <c r="Q45" s="307"/>
      <c r="R45" s="308"/>
      <c r="S45" s="295"/>
      <c r="T45" s="295"/>
    </row>
    <row r="46" spans="1:20">
      <c r="A46" s="283" t="s">
        <v>188</v>
      </c>
      <c r="B46" s="112"/>
      <c r="C46" s="112"/>
      <c r="D46" s="290"/>
      <c r="E46" s="190">
        <v>906</v>
      </c>
      <c r="F46" s="112"/>
      <c r="G46" s="137"/>
      <c r="H46" s="112"/>
      <c r="I46" s="112"/>
      <c r="J46" s="112"/>
      <c r="K46" s="294"/>
      <c r="L46" s="112"/>
      <c r="M46" s="294"/>
      <c r="N46" s="127"/>
      <c r="O46" s="112"/>
      <c r="P46" s="116" t="s">
        <v>189</v>
      </c>
      <c r="Q46" s="117"/>
      <c r="R46" s="117"/>
      <c r="S46" s="117"/>
      <c r="T46" s="118"/>
    </row>
    <row r="47" spans="1:20">
      <c r="A47" s="283" t="s">
        <v>190</v>
      </c>
      <c r="B47" s="112"/>
      <c r="C47" s="112"/>
      <c r="D47" s="293" t="s">
        <v>250</v>
      </c>
      <c r="E47" s="190">
        <f>E46-$K$70</f>
        <v>621</v>
      </c>
      <c r="F47" s="112"/>
      <c r="G47" s="137" t="s">
        <v>191</v>
      </c>
      <c r="H47" s="112"/>
      <c r="I47" s="240"/>
      <c r="J47" s="240">
        <f>J19</f>
        <v>356</v>
      </c>
      <c r="K47" s="240">
        <f>K19</f>
        <v>40</v>
      </c>
      <c r="L47" s="241">
        <f>L19</f>
        <v>267.13</v>
      </c>
      <c r="M47" s="242">
        <f>M19</f>
        <v>21</v>
      </c>
      <c r="N47" s="243">
        <f>N19</f>
        <v>-206.13</v>
      </c>
      <c r="O47" s="112"/>
      <c r="P47" s="122"/>
      <c r="Q47" s="112"/>
      <c r="R47" s="126" t="str">
        <f>N6</f>
        <v>LTM</v>
      </c>
      <c r="S47" s="126" t="s">
        <v>192</v>
      </c>
      <c r="T47" s="251" t="s">
        <v>193</v>
      </c>
    </row>
    <row r="48" spans="1:20">
      <c r="A48" s="283" t="s">
        <v>194</v>
      </c>
      <c r="B48" s="112"/>
      <c r="C48" s="112"/>
      <c r="D48" s="290"/>
      <c r="E48" s="296">
        <v>1.78</v>
      </c>
      <c r="F48" s="112"/>
      <c r="G48" s="137" t="s">
        <v>142</v>
      </c>
      <c r="H48" s="112"/>
      <c r="I48" s="309"/>
      <c r="J48" s="309">
        <f>J29</f>
        <v>0</v>
      </c>
      <c r="K48" s="309">
        <f>K29</f>
        <v>0</v>
      </c>
      <c r="L48" s="310">
        <f>L29</f>
        <v>0</v>
      </c>
      <c r="M48" s="311">
        <f>M29</f>
        <v>0</v>
      </c>
      <c r="N48" s="271">
        <f>N29</f>
        <v>0</v>
      </c>
      <c r="O48" s="112"/>
      <c r="P48" s="122"/>
      <c r="Q48" s="112"/>
      <c r="R48" s="258">
        <f>N7</f>
        <v>43828</v>
      </c>
      <c r="S48" s="258">
        <f>+E38</f>
        <v>44196</v>
      </c>
      <c r="T48" s="259">
        <f>S48+365</f>
        <v>44561</v>
      </c>
    </row>
    <row r="49" spans="1:20">
      <c r="A49" s="122"/>
      <c r="B49" s="112"/>
      <c r="C49" s="112"/>
      <c r="D49" s="112"/>
      <c r="E49" s="185"/>
      <c r="F49" s="112"/>
      <c r="G49" s="137" t="s">
        <v>195</v>
      </c>
      <c r="H49" s="112"/>
      <c r="I49" s="266"/>
      <c r="J49" s="266">
        <f>+SUM(J34:J38)</f>
        <v>96</v>
      </c>
      <c r="K49" s="275">
        <f>+SUM(K34:K38)</f>
        <v>106</v>
      </c>
      <c r="L49" s="266">
        <f>+SUM(L34:L38)</f>
        <v>4</v>
      </c>
      <c r="M49" s="275">
        <f>+SUM(M34:M38)</f>
        <v>6</v>
      </c>
      <c r="N49" s="276">
        <f>+SUM(N34:N38)</f>
        <v>108</v>
      </c>
      <c r="O49" s="112"/>
      <c r="P49" s="122" t="s">
        <v>53</v>
      </c>
      <c r="Q49" s="112"/>
      <c r="R49" s="312">
        <f>IF(ISERROR(T17/N8),"NM",T17/N8)</f>
        <v>4.3657751041184643</v>
      </c>
      <c r="S49" s="312">
        <f>IF(ISERROR($T$17/E39),"NM",$T$17/E39)</f>
        <v>3.3790974212034386</v>
      </c>
      <c r="T49" s="313">
        <f>IF(ISERROR($T$17/E45),"NM",$T$17/E45)</f>
        <v>3.0141980830670927</v>
      </c>
    </row>
    <row r="50" spans="1:20">
      <c r="A50" s="283" t="s">
        <v>166</v>
      </c>
      <c r="B50" s="112"/>
      <c r="C50" s="112"/>
      <c r="D50" s="112"/>
      <c r="E50" s="284">
        <f>EOMONTH(E44,12)</f>
        <v>44926</v>
      </c>
      <c r="F50" s="112"/>
      <c r="G50" s="137" t="s">
        <v>184</v>
      </c>
      <c r="H50" s="112"/>
      <c r="I50" s="266"/>
      <c r="J50" s="314">
        <v>0</v>
      </c>
      <c r="K50" s="314">
        <v>0</v>
      </c>
      <c r="L50" s="315">
        <v>0</v>
      </c>
      <c r="M50" s="316">
        <v>0</v>
      </c>
      <c r="N50" s="276">
        <f>K50+M50-L50</f>
        <v>0</v>
      </c>
      <c r="O50" s="112"/>
      <c r="P50" s="122" t="s">
        <v>54</v>
      </c>
      <c r="Q50" s="112"/>
      <c r="R50" s="312">
        <f>IF(OR((ISERROR($T$17/N44)),N44&lt;0),"NM",$T$17/N44)</f>
        <v>17.216131386861314</v>
      </c>
      <c r="S50" s="312">
        <f>IF(OR((ISERROR($T$17/E40)),E40&lt;0),"NM",$T$17/E40)</f>
        <v>12.142136422136423</v>
      </c>
      <c r="T50" s="313">
        <f>IF(OR((ISERROR($T$17/E46)),E46&lt;0),"NM",$T$17/E46)</f>
        <v>10.413289183222959</v>
      </c>
    </row>
    <row r="51" spans="1:20">
      <c r="A51" s="283" t="s">
        <v>196</v>
      </c>
      <c r="B51" s="112"/>
      <c r="C51" s="260" t="s">
        <v>170</v>
      </c>
      <c r="D51" s="286"/>
      <c r="E51" s="190">
        <v>3487</v>
      </c>
      <c r="F51" s="112"/>
      <c r="G51" s="137" t="s">
        <v>197</v>
      </c>
      <c r="H51" s="112"/>
      <c r="I51" s="266"/>
      <c r="J51" s="266">
        <f>-(SUM(J48:J50)*($E$11))</f>
        <v>-20.16</v>
      </c>
      <c r="K51" s="275">
        <f>-(SUM(K48:K50)*($E$11))</f>
        <v>-22.259999999999998</v>
      </c>
      <c r="L51" s="266">
        <f>-(SUM(L48:L50)*($E$11))</f>
        <v>-0.84</v>
      </c>
      <c r="M51" s="275">
        <f>-(SUM(M48:M50)*($E$11))</f>
        <v>-1.26</v>
      </c>
      <c r="N51" s="276">
        <f>-(SUM(N48:N50)*($E$11))</f>
        <v>-22.68</v>
      </c>
      <c r="O51" s="112"/>
      <c r="P51" s="122" t="s">
        <v>198</v>
      </c>
      <c r="Q51" s="112"/>
      <c r="R51" s="312">
        <f>IF(OR((ISERROR($T$17/N39)),N39&lt;0),"NM",$T$17/N39)</f>
        <v>36.147279693486595</v>
      </c>
      <c r="S51" s="312">
        <f>IF(OR((ISERROR($T$17/E41)),E41&lt;0),"NM",$T$17/E41)</f>
        <v>19.175691056910569</v>
      </c>
      <c r="T51" s="313">
        <f>IF(OR((ISERROR($T$17/E47)),E47&lt;0),"NM",$T$17/E47)</f>
        <v>15.192334943639292</v>
      </c>
    </row>
    <row r="52" spans="1:20" ht="15.75" thickBot="1">
      <c r="A52" s="283" t="s">
        <v>199</v>
      </c>
      <c r="B52" s="112"/>
      <c r="C52" s="112"/>
      <c r="D52" s="290"/>
      <c r="E52" s="190">
        <v>1051</v>
      </c>
      <c r="F52" s="112"/>
      <c r="G52" s="164" t="s">
        <v>200</v>
      </c>
      <c r="H52" s="112"/>
      <c r="I52" s="165"/>
      <c r="J52" s="204">
        <f>SUM(J47:J51)</f>
        <v>431.84</v>
      </c>
      <c r="K52" s="204">
        <f>SUM(K47:K51)</f>
        <v>123.74000000000001</v>
      </c>
      <c r="L52" s="205">
        <f>SUM(L47:L51)</f>
        <v>270.29000000000002</v>
      </c>
      <c r="M52" s="206">
        <f>SUM(M47:M51)</f>
        <v>25.74</v>
      </c>
      <c r="N52" s="207">
        <f>SUM(N47:N51)</f>
        <v>-120.81</v>
      </c>
      <c r="O52" s="112"/>
      <c r="P52" s="201" t="s">
        <v>56</v>
      </c>
      <c r="Q52" s="202"/>
      <c r="R52" s="317" t="str">
        <f>IF(OR((ISERROR($T$9/N57)),N57&lt;0),"NM",$T$9/N57)</f>
        <v>NM</v>
      </c>
      <c r="S52" s="317">
        <f>IF(OR((ISERROR($T$9/E42)),E42&lt;0),"NM",$T$9/E42)</f>
        <v>14.813664596273291</v>
      </c>
      <c r="T52" s="318">
        <f>IF(OR((ISERROR($T$9/E48)),E48&lt;0),"NM",$T$9/E48)</f>
        <v>13.398876404494382</v>
      </c>
    </row>
    <row r="53" spans="1:20" ht="15.75" thickTop="1">
      <c r="A53" s="283" t="s">
        <v>201</v>
      </c>
      <c r="B53" s="112"/>
      <c r="C53" s="112"/>
      <c r="D53" s="293" t="s">
        <v>250</v>
      </c>
      <c r="E53" s="190">
        <f>E52-$K$70</f>
        <v>766</v>
      </c>
      <c r="F53" s="112"/>
      <c r="G53" s="252" t="s">
        <v>149</v>
      </c>
      <c r="H53" s="134"/>
      <c r="I53" s="253"/>
      <c r="J53" s="253">
        <f>IF(ISERROR(J52/J8),"NA",J52/J8)</f>
        <v>0.17384863123993557</v>
      </c>
      <c r="K53" s="253">
        <f>IF(ISERROR(K52/K8),"NA",K52/K8)</f>
        <v>5.6117913832199551E-2</v>
      </c>
      <c r="L53" s="254">
        <f>IF(ISERROR(L52/L8),"NA",L52/L8)</f>
        <v>0.44750000000000001</v>
      </c>
      <c r="M53" s="255">
        <f>IF(ISERROR(M52/M8),"NA",M52/M8)</f>
        <v>4.5964285714285714E-2</v>
      </c>
      <c r="N53" s="256">
        <f>IF(ISERROR(N52/N8),"NA",N52/N8)</f>
        <v>-5.5904673762147153E-2</v>
      </c>
      <c r="O53" s="112"/>
      <c r="P53" s="112"/>
      <c r="Q53" s="112"/>
      <c r="R53" s="112"/>
      <c r="S53" s="112"/>
      <c r="T53" s="112"/>
    </row>
    <row r="54" spans="1:20">
      <c r="A54" s="319" t="s">
        <v>202</v>
      </c>
      <c r="B54" s="202"/>
      <c r="C54" s="202"/>
      <c r="D54" s="320"/>
      <c r="E54" s="321">
        <v>2.02</v>
      </c>
      <c r="F54" s="112"/>
      <c r="G54" s="137"/>
      <c r="H54" s="112"/>
      <c r="I54" s="260"/>
      <c r="J54" s="260"/>
      <c r="K54" s="260"/>
      <c r="L54" s="261"/>
      <c r="M54" s="262"/>
      <c r="N54" s="263"/>
      <c r="O54" s="112"/>
      <c r="P54" s="116" t="s">
        <v>6</v>
      </c>
      <c r="Q54" s="117"/>
      <c r="R54" s="117"/>
      <c r="S54" s="117"/>
      <c r="T54" s="118"/>
    </row>
    <row r="55" spans="1:20">
      <c r="A55" s="122"/>
      <c r="B55" s="112"/>
      <c r="C55" s="112"/>
      <c r="D55" s="112"/>
      <c r="E55" s="185"/>
      <c r="F55" s="112"/>
      <c r="G55" s="137" t="s">
        <v>203</v>
      </c>
      <c r="H55" s="112"/>
      <c r="I55" s="186"/>
      <c r="J55" s="187">
        <v>0</v>
      </c>
      <c r="K55" s="187">
        <v>0</v>
      </c>
      <c r="L55" s="188">
        <v>0</v>
      </c>
      <c r="M55" s="189">
        <v>0</v>
      </c>
      <c r="N55" s="174">
        <f>+IF(ISERROR(K55+M55-L55),"NA",K55+M55-L55)</f>
        <v>0</v>
      </c>
      <c r="O55" s="322"/>
      <c r="P55" s="323" t="s">
        <v>204</v>
      </c>
      <c r="Q55" s="324"/>
      <c r="R55" s="325"/>
      <c r="S55" s="112"/>
      <c r="T55" s="326" t="s">
        <v>205</v>
      </c>
    </row>
    <row r="56" spans="1:20">
      <c r="A56" s="116" t="s">
        <v>206</v>
      </c>
      <c r="B56" s="117"/>
      <c r="C56" s="117"/>
      <c r="D56" s="117"/>
      <c r="E56" s="118"/>
      <c r="F56" s="112"/>
      <c r="G56" s="137" t="s">
        <v>207</v>
      </c>
      <c r="H56" s="112"/>
      <c r="I56" s="186"/>
      <c r="J56" s="187">
        <v>0</v>
      </c>
      <c r="K56" s="187">
        <v>0</v>
      </c>
      <c r="L56" s="188">
        <v>0</v>
      </c>
      <c r="M56" s="189">
        <v>0</v>
      </c>
      <c r="N56" s="174">
        <f>+IF(ISERROR(K56+M56-L56),"NA",K56+M56-L56)</f>
        <v>0</v>
      </c>
      <c r="O56" s="322"/>
      <c r="P56" s="168" t="s">
        <v>208</v>
      </c>
      <c r="Q56" s="112"/>
      <c r="R56" s="265">
        <v>15.4</v>
      </c>
      <c r="S56" s="112"/>
      <c r="T56" s="327">
        <f>IF(ISERROR($T$9/R56-1),"NA",$T$9/R56-1)</f>
        <v>0.54870129870129869</v>
      </c>
    </row>
    <row r="57" spans="1:20">
      <c r="A57" s="328"/>
      <c r="B57" s="329"/>
      <c r="C57" s="329"/>
      <c r="D57" s="329"/>
      <c r="E57" s="330"/>
      <c r="F57" s="112"/>
      <c r="G57" s="331" t="s">
        <v>209</v>
      </c>
      <c r="H57" s="112"/>
      <c r="I57" s="332"/>
      <c r="J57" s="333">
        <f>IF(ISERROR((J52+J55)/(J21+J56)),0,((J52+J55)/(J21+J56)))</f>
        <v>1.1608602150537635</v>
      </c>
      <c r="K57" s="333">
        <f>IF(ISERROR((K52+K55)/(K21+K56)),0,((K52+K55)/(K21+K56)))</f>
        <v>0.32140259740259741</v>
      </c>
      <c r="L57" s="334">
        <f>IF(ISERROR((L52+L55)/(L21+L56)),0,((L52+L55)/(L21+L56)))</f>
        <v>0.73051351351351357</v>
      </c>
      <c r="M57" s="335">
        <f>IF(ISERROR((M52+M55)/(M21+M56)),0,((M52+M55)/(M21+M56)))</f>
        <v>6.5831202046035805E-2</v>
      </c>
      <c r="N57" s="336">
        <f>IF(ISERROR((N52+N55)/(N21+N56)),0,((N52+N55)/(N21+N56)))</f>
        <v>-0.29756157635467984</v>
      </c>
      <c r="O57" s="322"/>
      <c r="P57" s="168"/>
      <c r="Q57" s="112"/>
      <c r="R57" s="112"/>
      <c r="S57" s="112"/>
      <c r="T57" s="327"/>
    </row>
    <row r="58" spans="1:20">
      <c r="A58" s="122"/>
      <c r="B58" s="112"/>
      <c r="C58" s="337" t="s">
        <v>33</v>
      </c>
      <c r="D58" s="337" t="s">
        <v>14</v>
      </c>
      <c r="E58" s="338" t="s">
        <v>35</v>
      </c>
      <c r="F58" s="112"/>
      <c r="G58" s="137"/>
      <c r="H58" s="112"/>
      <c r="I58" s="112"/>
      <c r="J58" s="112"/>
      <c r="K58" s="112"/>
      <c r="L58" s="112"/>
      <c r="M58" s="112"/>
      <c r="N58" s="127"/>
      <c r="O58" s="322"/>
      <c r="P58" s="339" t="s">
        <v>210</v>
      </c>
      <c r="Q58" s="201"/>
      <c r="R58" s="202"/>
      <c r="S58" s="112"/>
      <c r="T58" s="327"/>
    </row>
    <row r="59" spans="1:20">
      <c r="A59" s="340" t="s">
        <v>211</v>
      </c>
      <c r="B59" s="112"/>
      <c r="C59" s="112"/>
      <c r="D59" s="112"/>
      <c r="E59" s="185"/>
      <c r="F59" s="112"/>
      <c r="G59" s="341" t="s">
        <v>212</v>
      </c>
      <c r="H59" s="342"/>
      <c r="I59" s="342"/>
      <c r="J59" s="342"/>
      <c r="K59" s="342"/>
      <c r="L59" s="342"/>
      <c r="M59" s="342"/>
      <c r="N59" s="343"/>
      <c r="O59" s="322"/>
      <c r="P59" s="46" t="s">
        <v>208</v>
      </c>
      <c r="Q59" s="112"/>
      <c r="R59" s="265">
        <f>T9/(1.55)</f>
        <v>15.387096774193548</v>
      </c>
      <c r="S59" s="112"/>
      <c r="T59" s="327">
        <f>IF(ISERROR($T$9/R59-1),"NA",$T$9/R59-1)</f>
        <v>0.55000000000000004</v>
      </c>
    </row>
    <row r="60" spans="1:20">
      <c r="A60" s="122" t="s">
        <v>213</v>
      </c>
      <c r="B60" s="112"/>
      <c r="C60" s="344">
        <f>IF(ISERROR(K8/J8-1),0,K8/J8-1)</f>
        <v>-0.1123188405797102</v>
      </c>
      <c r="D60" s="344">
        <f>IF(ISERROR(K44/J44-1),0,K44/J44-1)</f>
        <v>-5.5147058823529438E-2</v>
      </c>
      <c r="E60" s="345">
        <f>IF(ISERROR(K57/J57-1),0,K57/J57-1)</f>
        <v>-0.72313410931417599</v>
      </c>
      <c r="F60" s="112"/>
      <c r="G60" s="456"/>
      <c r="H60" s="457"/>
      <c r="I60" s="457"/>
      <c r="J60" s="457"/>
      <c r="K60" s="457"/>
      <c r="L60" s="457"/>
      <c r="M60" s="457"/>
      <c r="N60" s="458"/>
      <c r="O60" s="112"/>
      <c r="P60" s="122" t="s">
        <v>214</v>
      </c>
      <c r="Q60" s="329"/>
      <c r="R60" s="265">
        <f>T5/(1.46)</f>
        <v>16.335616438356166</v>
      </c>
      <c r="S60" s="112"/>
      <c r="T60" s="327">
        <f>IF(ISERROR($T$9/R60-1),"NA",$T$9/R60-1)</f>
        <v>0.45999999999999996</v>
      </c>
    </row>
    <row r="61" spans="1:20">
      <c r="A61" s="122"/>
      <c r="B61" s="112"/>
      <c r="C61" s="344"/>
      <c r="D61" s="344"/>
      <c r="E61" s="345"/>
      <c r="F61" s="112"/>
      <c r="G61" s="459"/>
      <c r="H61" s="445"/>
      <c r="I61" s="445"/>
      <c r="J61" s="445"/>
      <c r="K61" s="445"/>
      <c r="L61" s="445"/>
      <c r="M61" s="445"/>
      <c r="N61" s="446"/>
      <c r="O61" s="112"/>
      <c r="P61" s="201" t="s">
        <v>215</v>
      </c>
      <c r="Q61" s="202"/>
      <c r="R61" s="346">
        <v>0</v>
      </c>
      <c r="S61" s="202"/>
      <c r="T61" s="347" t="str">
        <f>IF(ISERROR($T$9/R61-1),"NA",$T$9/R61-1)</f>
        <v>NA</v>
      </c>
    </row>
    <row r="62" spans="1:20">
      <c r="A62" s="340" t="s">
        <v>216</v>
      </c>
      <c r="B62" s="112"/>
      <c r="C62" s="344"/>
      <c r="D62" s="344"/>
      <c r="E62" s="345"/>
      <c r="F62" s="112"/>
      <c r="G62" s="459"/>
      <c r="H62" s="445"/>
      <c r="I62" s="445"/>
      <c r="J62" s="445"/>
      <c r="K62" s="445"/>
      <c r="L62" s="445"/>
      <c r="M62" s="445"/>
      <c r="N62" s="446"/>
      <c r="O62" s="112"/>
      <c r="P62" s="112"/>
      <c r="Q62" s="112"/>
      <c r="R62" s="112"/>
      <c r="S62" s="112"/>
      <c r="T62" s="112"/>
    </row>
    <row r="63" spans="1:20">
      <c r="A63" s="122" t="s">
        <v>213</v>
      </c>
      <c r="B63" s="112"/>
      <c r="C63" s="344">
        <f>IF(ISERROR(E39/K8-1),0,E39/K8-1)</f>
        <v>0.26621315192743755</v>
      </c>
      <c r="D63" s="344">
        <f>IF(ISERROR(E40/K44-1),0,E40/K44-1)</f>
        <v>0.51167315175097272</v>
      </c>
      <c r="E63" s="345">
        <f>IF(ISERROR(E42/K57-1),0,E42/K57-1)</f>
        <v>4.0092936802973975</v>
      </c>
      <c r="F63" s="112"/>
      <c r="G63" s="444"/>
      <c r="H63" s="445"/>
      <c r="I63" s="445"/>
      <c r="J63" s="445"/>
      <c r="K63" s="445"/>
      <c r="L63" s="445"/>
      <c r="M63" s="445"/>
      <c r="N63" s="446"/>
      <c r="O63" s="112"/>
      <c r="P63" s="112"/>
      <c r="Q63" s="112"/>
      <c r="R63" s="112"/>
      <c r="S63" s="112"/>
      <c r="T63" s="112"/>
    </row>
    <row r="64" spans="1:20" ht="15.75" thickBot="1">
      <c r="A64" s="201" t="s">
        <v>217</v>
      </c>
      <c r="B64" s="202"/>
      <c r="C64" s="348">
        <f>IF(ISERROR((E45/K8)^(1/2)-1),0,(E45/K8)^(1/2)-1)</f>
        <v>0.1914281907806481</v>
      </c>
      <c r="D64" s="348">
        <f>IF(ISERROR((E46/K44)^(1/2)-1),0,(E46/K44)^(1/2)-1)</f>
        <v>0.32764675813895883</v>
      </c>
      <c r="E64" s="349">
        <f>IF(ISERROR((E48/K57)^(1/2)-1),0,(E48/K57)^(1/2)-1)</f>
        <v>1.3533434324671472</v>
      </c>
      <c r="F64" s="112"/>
      <c r="G64" s="447"/>
      <c r="H64" s="448"/>
      <c r="I64" s="448"/>
      <c r="J64" s="448"/>
      <c r="K64" s="448"/>
      <c r="L64" s="448"/>
      <c r="M64" s="448"/>
      <c r="N64" s="449"/>
      <c r="O64" s="112"/>
      <c r="P64" s="112"/>
      <c r="Q64" s="112"/>
      <c r="R64" s="112"/>
      <c r="S64" s="112"/>
      <c r="T64" s="112"/>
    </row>
    <row r="65" spans="1:20">
      <c r="A65" s="112"/>
      <c r="B65" s="112"/>
      <c r="C65" s="112"/>
      <c r="D65" s="112"/>
      <c r="E65" s="112"/>
      <c r="F65" s="112"/>
      <c r="G65" s="112"/>
      <c r="H65" s="112"/>
      <c r="I65" s="112"/>
      <c r="J65" s="112"/>
      <c r="K65" s="112"/>
      <c r="L65" s="112"/>
      <c r="M65" s="112"/>
      <c r="N65" s="112"/>
      <c r="O65" s="112"/>
      <c r="P65" s="112"/>
      <c r="Q65" s="112"/>
      <c r="R65" s="112"/>
      <c r="S65" s="112"/>
      <c r="T65" s="112"/>
    </row>
    <row r="66" spans="1:20">
      <c r="A66" s="350" t="s">
        <v>218</v>
      </c>
      <c r="B66" s="351"/>
      <c r="C66" s="351"/>
      <c r="D66" s="352" t="s">
        <v>219</v>
      </c>
      <c r="E66" s="353" t="s">
        <v>220</v>
      </c>
      <c r="F66" s="112"/>
      <c r="G66" s="116" t="s">
        <v>221</v>
      </c>
      <c r="H66" s="117"/>
      <c r="I66" s="117"/>
      <c r="J66" s="117"/>
      <c r="K66" s="117"/>
      <c r="L66" s="117"/>
      <c r="M66" s="117"/>
      <c r="N66" s="118"/>
      <c r="O66" s="112"/>
      <c r="P66" s="112"/>
      <c r="Q66" s="112"/>
      <c r="R66" s="112"/>
      <c r="S66" s="112"/>
      <c r="T66" s="112"/>
    </row>
    <row r="67" spans="1:20">
      <c r="A67" s="354"/>
      <c r="E67" s="136"/>
      <c r="F67" s="112"/>
      <c r="G67" s="122"/>
      <c r="H67" s="112"/>
      <c r="I67" s="125"/>
      <c r="J67" s="125"/>
      <c r="K67" s="112"/>
      <c r="L67" s="126" t="s">
        <v>83</v>
      </c>
      <c r="M67" s="126" t="s">
        <v>84</v>
      </c>
      <c r="N67" s="185"/>
      <c r="O67" s="112"/>
      <c r="P67" s="112"/>
      <c r="Q67" s="112"/>
      <c r="R67" s="112"/>
      <c r="S67" s="112"/>
      <c r="T67" s="112"/>
    </row>
    <row r="68" spans="1:20">
      <c r="A68" s="354"/>
      <c r="D68" s="355"/>
      <c r="E68" s="136"/>
      <c r="F68" s="112"/>
      <c r="G68" s="122"/>
      <c r="H68" s="112"/>
      <c r="I68" s="234"/>
      <c r="J68" s="132" t="str">
        <f>"FYE "&amp;TEXT($E$8,"mmmm d")&amp;","</f>
        <v>FYE December 29,</v>
      </c>
      <c r="K68" s="132"/>
      <c r="L68" s="126" t="s">
        <v>87</v>
      </c>
      <c r="M68" s="126" t="s">
        <v>87</v>
      </c>
      <c r="N68" s="251" t="s">
        <v>17</v>
      </c>
      <c r="O68" s="112"/>
      <c r="P68" s="112"/>
      <c r="Q68" s="112"/>
      <c r="R68" s="112"/>
      <c r="S68" s="112"/>
      <c r="T68" s="112"/>
    </row>
    <row r="69" spans="1:20">
      <c r="A69" s="354"/>
      <c r="D69" s="355"/>
      <c r="E69" s="136"/>
      <c r="F69" s="112"/>
      <c r="G69" s="356"/>
      <c r="H69" s="113"/>
      <c r="I69" s="139"/>
      <c r="J69" s="140">
        <f>+J27</f>
        <v>43463</v>
      </c>
      <c r="K69" s="140">
        <f>+K27</f>
        <v>43828</v>
      </c>
      <c r="L69" s="141">
        <f>+L27</f>
        <v>43464</v>
      </c>
      <c r="M69" s="142">
        <f>+M27</f>
        <v>43828</v>
      </c>
      <c r="N69" s="259">
        <f>+N27</f>
        <v>43828</v>
      </c>
      <c r="O69" s="112"/>
      <c r="P69" s="112"/>
      <c r="Q69" s="112"/>
      <c r="R69" s="112"/>
      <c r="S69" s="112"/>
      <c r="T69" s="112"/>
    </row>
    <row r="70" spans="1:20">
      <c r="E70" s="239"/>
      <c r="F70" s="112"/>
      <c r="G70" s="122" t="s">
        <v>182</v>
      </c>
      <c r="H70" s="112"/>
      <c r="I70" s="186"/>
      <c r="J70" s="187">
        <v>283</v>
      </c>
      <c r="K70" s="187">
        <v>285</v>
      </c>
      <c r="L70" s="188">
        <v>17</v>
      </c>
      <c r="M70" s="189">
        <v>19</v>
      </c>
      <c r="N70" s="357">
        <f>K70+M70-L70</f>
        <v>287</v>
      </c>
      <c r="O70" s="112"/>
      <c r="P70" s="112"/>
      <c r="Q70" s="112"/>
      <c r="R70" s="112"/>
      <c r="S70" s="112"/>
      <c r="T70" s="112"/>
    </row>
    <row r="71" spans="1:20">
      <c r="E71" s="239"/>
      <c r="F71" s="112"/>
      <c r="G71" s="201" t="s">
        <v>161</v>
      </c>
      <c r="H71" s="202"/>
      <c r="I71" s="358"/>
      <c r="J71" s="191">
        <v>96</v>
      </c>
      <c r="K71" s="191">
        <v>106</v>
      </c>
      <c r="L71" s="192">
        <v>4</v>
      </c>
      <c r="M71" s="193">
        <v>6</v>
      </c>
      <c r="N71" s="359">
        <f>K71+M71-L71</f>
        <v>108</v>
      </c>
      <c r="O71" s="246"/>
      <c r="P71" s="112"/>
      <c r="Q71" s="112"/>
      <c r="R71" s="112"/>
      <c r="S71" s="112"/>
      <c r="T71" s="112"/>
    </row>
    <row r="72" spans="1:20">
      <c r="E72" s="239"/>
      <c r="F72" s="112"/>
      <c r="G72" s="351"/>
      <c r="H72" s="351"/>
      <c r="I72" s="360"/>
      <c r="J72" s="360"/>
      <c r="K72" s="360"/>
      <c r="L72" s="360"/>
      <c r="M72" s="360"/>
      <c r="N72" s="361"/>
      <c r="O72" s="112"/>
      <c r="P72" s="112"/>
      <c r="Q72" s="112"/>
      <c r="R72" s="112"/>
      <c r="S72" s="112"/>
      <c r="T72" s="112"/>
    </row>
    <row r="73" spans="1:20">
      <c r="A73" s="362"/>
      <c r="B73" s="362"/>
      <c r="C73" s="362"/>
      <c r="D73" s="202"/>
      <c r="E73" s="169"/>
      <c r="F73" s="112"/>
      <c r="G73" s="134"/>
      <c r="H73" s="134"/>
      <c r="I73" s="363"/>
      <c r="J73" s="363"/>
      <c r="K73" s="363"/>
      <c r="L73" s="363"/>
      <c r="M73" s="363"/>
      <c r="N73" s="363"/>
      <c r="O73" s="112"/>
      <c r="P73" s="112"/>
      <c r="Q73" s="112"/>
      <c r="R73" s="112"/>
      <c r="S73" s="112"/>
      <c r="T73" s="112"/>
    </row>
  </sheetData>
  <mergeCells count="6">
    <mergeCell ref="G63:N64"/>
    <mergeCell ref="P2:T2"/>
    <mergeCell ref="A18:E21"/>
    <mergeCell ref="A24:E27"/>
    <mergeCell ref="A30:E35"/>
    <mergeCell ref="G60:N6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Brando Pakel</dc:creator>
  <cp:keywords/>
  <dc:description/>
  <cp:lastModifiedBy/>
  <cp:revision/>
  <dcterms:created xsi:type="dcterms:W3CDTF">2015-06-05T18:17:20Z</dcterms:created>
  <dcterms:modified xsi:type="dcterms:W3CDTF">2025-05-20T01:05:50Z</dcterms:modified>
  <cp:category/>
  <cp:contentStatus/>
</cp:coreProperties>
</file>