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p/Documents/circle_analysis/"/>
    </mc:Choice>
  </mc:AlternateContent>
  <xr:revisionPtr revIDLastSave="0" documentId="13_ncr:1_{673C5EDC-F188-9241-AC4B-4BA8E11494E7}" xr6:coauthVersionLast="47" xr6:coauthVersionMax="47" xr10:uidLastSave="{00000000-0000-0000-0000-000000000000}"/>
  <bookViews>
    <workbookView xWindow="0" yWindow="760" windowWidth="29400" windowHeight="17060" activeTab="9" xr2:uid="{71A88FDC-42D9-A049-9E92-367A2176B8D9}"/>
  </bookViews>
  <sheets>
    <sheet name="Drivers &amp; Assumptons" sheetId="1" r:id="rId1"/>
    <sheet name="Revenue Build" sheetId="2" r:id="rId2"/>
    <sheet name="Expense Build" sheetId="8" r:id="rId3"/>
    <sheet name="P&amp;L" sheetId="3" r:id="rId4"/>
    <sheet name="Balance Sheet" sheetId="4" r:id="rId5"/>
    <sheet name="Cash Flow Statement" sheetId="5" r:id="rId6"/>
    <sheet name="Supporting Schedules" sheetId="6" r:id="rId7"/>
    <sheet name="Scenarios" sheetId="9" r:id="rId8"/>
    <sheet name="Sensitivities" sheetId="7" r:id="rId9"/>
    <sheet name="Valuation" sheetId="10" r:id="rId10"/>
  </sheets>
  <externalReferences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10" l="1"/>
  <c r="E41" i="10"/>
  <c r="E42" i="10"/>
  <c r="D42" i="10"/>
  <c r="F42" i="10"/>
  <c r="F41" i="10"/>
  <c r="C42" i="10"/>
  <c r="C41" i="10"/>
  <c r="B7" i="6"/>
  <c r="B8" i="6" s="1"/>
  <c r="B9" i="6" s="1"/>
  <c r="B10" i="6" s="1"/>
  <c r="B11" i="6" s="1"/>
  <c r="B12" i="6" s="1"/>
  <c r="B13" i="6" s="1"/>
  <c r="B14" i="6" s="1"/>
  <c r="B6" i="6"/>
  <c r="B13" i="4"/>
  <c r="B58" i="6"/>
  <c r="B49" i="6" s="1"/>
  <c r="B53" i="6"/>
  <c r="D32" i="4"/>
  <c r="E32" i="4" s="1"/>
  <c r="B45" i="6"/>
  <c r="B37" i="6"/>
  <c r="B52" i="6" s="1"/>
  <c r="C52" i="3"/>
  <c r="B3" i="9"/>
  <c r="B2" i="9"/>
  <c r="H49" i="5"/>
  <c r="I49" i="5"/>
  <c r="J49" i="5"/>
  <c r="K49" i="5"/>
  <c r="L49" i="5"/>
  <c r="M49" i="5"/>
  <c r="G49" i="5"/>
  <c r="H23" i="5"/>
  <c r="I23" i="5"/>
  <c r="J23" i="5"/>
  <c r="K23" i="5"/>
  <c r="L23" i="5"/>
  <c r="M23" i="5"/>
  <c r="G23" i="5"/>
  <c r="F18" i="5"/>
  <c r="G18" i="5" s="1"/>
  <c r="H18" i="5" s="1"/>
  <c r="I18" i="5" s="1"/>
  <c r="J18" i="5" s="1"/>
  <c r="K18" i="5" s="1"/>
  <c r="L18" i="5" s="1"/>
  <c r="M18" i="5" s="1"/>
  <c r="E86" i="5"/>
  <c r="E85" i="5"/>
  <c r="E81" i="5"/>
  <c r="E80" i="5"/>
  <c r="E78" i="5"/>
  <c r="E77" i="5"/>
  <c r="E76" i="5"/>
  <c r="E74" i="5"/>
  <c r="E71" i="5"/>
  <c r="E66" i="5"/>
  <c r="E65" i="5"/>
  <c r="E59" i="5"/>
  <c r="E58" i="5"/>
  <c r="E57" i="5"/>
  <c r="E56" i="5"/>
  <c r="C17" i="10" s="1"/>
  <c r="E49" i="5"/>
  <c r="F49" i="5" s="1"/>
  <c r="E42" i="5"/>
  <c r="F42" i="5" s="1"/>
  <c r="E41" i="5"/>
  <c r="F41" i="5" s="1"/>
  <c r="E46" i="5"/>
  <c r="F46" i="5" s="1"/>
  <c r="G46" i="5" s="1"/>
  <c r="H46" i="5" s="1"/>
  <c r="I46" i="5" s="1"/>
  <c r="J46" i="5" s="1"/>
  <c r="K46" i="5" s="1"/>
  <c r="L46" i="5" s="1"/>
  <c r="M46" i="5" s="1"/>
  <c r="E40" i="5"/>
  <c r="E33" i="5"/>
  <c r="E34" i="5"/>
  <c r="E36" i="5"/>
  <c r="F36" i="5" s="1"/>
  <c r="G36" i="5" s="1"/>
  <c r="H36" i="5" s="1"/>
  <c r="I36" i="5" s="1"/>
  <c r="J36" i="5" s="1"/>
  <c r="K36" i="5" s="1"/>
  <c r="L36" i="5" s="1"/>
  <c r="M36" i="5" s="1"/>
  <c r="E35" i="5"/>
  <c r="F35" i="5" s="1"/>
  <c r="G35" i="5" s="1"/>
  <c r="H35" i="5" s="1"/>
  <c r="I35" i="5" s="1"/>
  <c r="J35" i="5" s="1"/>
  <c r="K35" i="5" s="1"/>
  <c r="L35" i="5" s="1"/>
  <c r="M35" i="5" s="1"/>
  <c r="E32" i="5"/>
  <c r="E31" i="5"/>
  <c r="E10" i="5"/>
  <c r="E23" i="5"/>
  <c r="E22" i="5"/>
  <c r="E21" i="5"/>
  <c r="E20" i="5"/>
  <c r="E15" i="5"/>
  <c r="E14" i="5"/>
  <c r="E18" i="5"/>
  <c r="E17" i="5"/>
  <c r="F17" i="5" s="1"/>
  <c r="E12" i="5"/>
  <c r="E11" i="5"/>
  <c r="E9" i="5"/>
  <c r="E8" i="5"/>
  <c r="E7" i="5"/>
  <c r="E5" i="5"/>
  <c r="B84" i="5"/>
  <c r="B83" i="5"/>
  <c r="B82" i="5"/>
  <c r="B81" i="5"/>
  <c r="D80" i="5"/>
  <c r="C80" i="5"/>
  <c r="B80" i="5"/>
  <c r="D79" i="5"/>
  <c r="C79" i="5"/>
  <c r="B79" i="5"/>
  <c r="D78" i="5"/>
  <c r="D77" i="5"/>
  <c r="C77" i="5"/>
  <c r="B77" i="5"/>
  <c r="D76" i="5"/>
  <c r="C76" i="5"/>
  <c r="B76" i="5"/>
  <c r="C75" i="5"/>
  <c r="C74" i="5"/>
  <c r="B74" i="5"/>
  <c r="D73" i="5"/>
  <c r="C73" i="5"/>
  <c r="B73" i="5"/>
  <c r="C72" i="5"/>
  <c r="D71" i="5"/>
  <c r="D70" i="5"/>
  <c r="C70" i="5"/>
  <c r="B70" i="5"/>
  <c r="D69" i="5"/>
  <c r="C69" i="5"/>
  <c r="B69" i="5"/>
  <c r="D66" i="5"/>
  <c r="C66" i="5"/>
  <c r="B66" i="5"/>
  <c r="D65" i="5"/>
  <c r="C65" i="5"/>
  <c r="B65" i="5"/>
  <c r="D59" i="5"/>
  <c r="D58" i="5"/>
  <c r="D57" i="5"/>
  <c r="D56" i="5"/>
  <c r="D61" i="5" s="1"/>
  <c r="C59" i="5"/>
  <c r="C58" i="5"/>
  <c r="C57" i="5"/>
  <c r="C56" i="5"/>
  <c r="B59" i="5"/>
  <c r="B58" i="5"/>
  <c r="B57" i="5"/>
  <c r="B56" i="5"/>
  <c r="B52" i="5"/>
  <c r="D50" i="5"/>
  <c r="C50" i="5"/>
  <c r="B50" i="5"/>
  <c r="D49" i="5"/>
  <c r="C49" i="5"/>
  <c r="B49" i="5"/>
  <c r="D46" i="5"/>
  <c r="C46" i="5"/>
  <c r="B46" i="5"/>
  <c r="D45" i="5"/>
  <c r="B44" i="5"/>
  <c r="C43" i="5"/>
  <c r="D40" i="5"/>
  <c r="C40" i="5"/>
  <c r="B40" i="5"/>
  <c r="D23" i="5"/>
  <c r="D22" i="5"/>
  <c r="D21" i="5"/>
  <c r="D20" i="5"/>
  <c r="D17" i="5"/>
  <c r="D12" i="5"/>
  <c r="D11" i="5"/>
  <c r="D9" i="5"/>
  <c r="D8" i="5"/>
  <c r="D7" i="5"/>
  <c r="D6" i="5"/>
  <c r="D5" i="5"/>
  <c r="B35" i="5"/>
  <c r="D31" i="5"/>
  <c r="D29" i="5"/>
  <c r="D28" i="5"/>
  <c r="D36" i="5"/>
  <c r="C36" i="5"/>
  <c r="B36" i="5"/>
  <c r="D35" i="5"/>
  <c r="C35" i="5"/>
  <c r="D34" i="5"/>
  <c r="C34" i="5"/>
  <c r="B33" i="5"/>
  <c r="D32" i="5"/>
  <c r="C32" i="5"/>
  <c r="B32" i="5"/>
  <c r="C31" i="5"/>
  <c r="C30" i="5"/>
  <c r="C29" i="5"/>
  <c r="C28" i="5"/>
  <c r="C23" i="5"/>
  <c r="C22" i="5"/>
  <c r="C21" i="5"/>
  <c r="C20" i="5"/>
  <c r="C18" i="5"/>
  <c r="C17" i="5"/>
  <c r="C13" i="5"/>
  <c r="C12" i="5"/>
  <c r="C11" i="5"/>
  <c r="C9" i="5"/>
  <c r="C8" i="5"/>
  <c r="C7" i="5"/>
  <c r="C6" i="5"/>
  <c r="C5" i="5"/>
  <c r="C3" i="5"/>
  <c r="B29" i="5"/>
  <c r="B28" i="5"/>
  <c r="B27" i="5"/>
  <c r="B23" i="5"/>
  <c r="B22" i="5"/>
  <c r="B21" i="5"/>
  <c r="B20" i="5"/>
  <c r="B18" i="5"/>
  <c r="B17" i="5"/>
  <c r="B16" i="5"/>
  <c r="B12" i="5"/>
  <c r="B11" i="5"/>
  <c r="B9" i="5"/>
  <c r="B8" i="5"/>
  <c r="B7" i="5"/>
  <c r="B6" i="5"/>
  <c r="B5" i="5"/>
  <c r="D28" i="4"/>
  <c r="E28" i="4" s="1"/>
  <c r="C28" i="4"/>
  <c r="B28" i="4"/>
  <c r="B34" i="4" s="1"/>
  <c r="C39" i="4"/>
  <c r="D41" i="4"/>
  <c r="D31" i="4"/>
  <c r="E31" i="4" s="1"/>
  <c r="F31" i="4" s="1"/>
  <c r="G31" i="4" s="1"/>
  <c r="H31" i="4" s="1"/>
  <c r="I31" i="4" s="1"/>
  <c r="J31" i="4" s="1"/>
  <c r="K31" i="4" s="1"/>
  <c r="L31" i="4" s="1"/>
  <c r="D29" i="4"/>
  <c r="D20" i="4"/>
  <c r="E20" i="4" s="1"/>
  <c r="F20" i="4" s="1"/>
  <c r="G20" i="4" s="1"/>
  <c r="H20" i="4" s="1"/>
  <c r="I20" i="4" s="1"/>
  <c r="J20" i="4" s="1"/>
  <c r="K20" i="4" s="1"/>
  <c r="L20" i="4" s="1"/>
  <c r="D19" i="4"/>
  <c r="E19" i="4" s="1"/>
  <c r="F19" i="4" s="1"/>
  <c r="G19" i="4" s="1"/>
  <c r="H19" i="4" s="1"/>
  <c r="I19" i="4" s="1"/>
  <c r="J19" i="4" s="1"/>
  <c r="K19" i="4" s="1"/>
  <c r="L19" i="4" s="1"/>
  <c r="C20" i="4"/>
  <c r="C19" i="4"/>
  <c r="D18" i="4"/>
  <c r="E18" i="4" s="1"/>
  <c r="F18" i="4" s="1"/>
  <c r="G18" i="4" s="1"/>
  <c r="H18" i="4" s="1"/>
  <c r="I18" i="4" s="1"/>
  <c r="J18" i="4" s="1"/>
  <c r="K18" i="4" s="1"/>
  <c r="L18" i="4" s="1"/>
  <c r="D17" i="4"/>
  <c r="E17" i="4" s="1"/>
  <c r="B22" i="6" s="1"/>
  <c r="D16" i="4"/>
  <c r="E16" i="4" s="1"/>
  <c r="F16" i="4" s="1"/>
  <c r="G16" i="4" s="1"/>
  <c r="H16" i="4" s="1"/>
  <c r="I16" i="4" s="1"/>
  <c r="J16" i="4" s="1"/>
  <c r="K16" i="4" s="1"/>
  <c r="L16" i="4" s="1"/>
  <c r="D12" i="4"/>
  <c r="D10" i="4"/>
  <c r="D13" i="4" s="1"/>
  <c r="D5" i="4"/>
  <c r="E5" i="4" s="1"/>
  <c r="D4" i="4"/>
  <c r="C30" i="4"/>
  <c r="C31" i="4"/>
  <c r="C33" i="4"/>
  <c r="F23" i="5" s="1"/>
  <c r="C36" i="4"/>
  <c r="C37" i="4"/>
  <c r="E37" i="4" s="1"/>
  <c r="F37" i="4" s="1"/>
  <c r="G37" i="4" s="1"/>
  <c r="H37" i="4" s="1"/>
  <c r="I37" i="4" s="1"/>
  <c r="J37" i="4" s="1"/>
  <c r="K37" i="4" s="1"/>
  <c r="L37" i="4" s="1"/>
  <c r="C38" i="4"/>
  <c r="C42" i="4" s="1"/>
  <c r="C41" i="4"/>
  <c r="B41" i="4"/>
  <c r="B38" i="4"/>
  <c r="B37" i="4"/>
  <c r="B36" i="4"/>
  <c r="B42" i="4" s="1"/>
  <c r="B33" i="4"/>
  <c r="B31" i="4"/>
  <c r="C29" i="4"/>
  <c r="C34" i="4" s="1"/>
  <c r="C22" i="4"/>
  <c r="C21" i="4"/>
  <c r="C18" i="4"/>
  <c r="C17" i="4"/>
  <c r="B20" i="6" s="1"/>
  <c r="C16" i="4"/>
  <c r="C12" i="4"/>
  <c r="C11" i="4"/>
  <c r="C10" i="4"/>
  <c r="C13" i="4" s="1"/>
  <c r="C5" i="4"/>
  <c r="C4" i="4"/>
  <c r="B30" i="4"/>
  <c r="B29" i="4"/>
  <c r="B22" i="4"/>
  <c r="B18" i="4"/>
  <c r="B17" i="4"/>
  <c r="B16" i="4"/>
  <c r="B15" i="4"/>
  <c r="B12" i="4"/>
  <c r="B11" i="4"/>
  <c r="B10" i="4"/>
  <c r="B9" i="4"/>
  <c r="B5" i="4"/>
  <c r="B4" i="4"/>
  <c r="F44" i="3"/>
  <c r="G44" i="3" s="1"/>
  <c r="H44" i="3" s="1"/>
  <c r="I44" i="3" s="1"/>
  <c r="J44" i="3" s="1"/>
  <c r="D44" i="3"/>
  <c r="C44" i="3"/>
  <c r="B44" i="3"/>
  <c r="D31" i="3"/>
  <c r="D30" i="3"/>
  <c r="E37" i="3"/>
  <c r="D33" i="3"/>
  <c r="C33" i="3"/>
  <c r="B33" i="3"/>
  <c r="D37" i="3"/>
  <c r="C37" i="3"/>
  <c r="C47" i="3" s="1"/>
  <c r="B37" i="3"/>
  <c r="E33" i="3"/>
  <c r="E31" i="3"/>
  <c r="F31" i="3" s="1"/>
  <c r="G31" i="3" s="1"/>
  <c r="H31" i="3" s="1"/>
  <c r="I31" i="3" s="1"/>
  <c r="J31" i="3" s="1"/>
  <c r="K31" i="3" s="1"/>
  <c r="L31" i="3" s="1"/>
  <c r="M31" i="3" s="1"/>
  <c r="E30" i="3"/>
  <c r="F30" i="3" s="1"/>
  <c r="E48" i="3"/>
  <c r="E3" i="5" s="1"/>
  <c r="D48" i="3"/>
  <c r="C48" i="3"/>
  <c r="B48" i="3"/>
  <c r="B3" i="5" s="1"/>
  <c r="E40" i="3"/>
  <c r="F40" i="3" s="1"/>
  <c r="G40" i="3" s="1"/>
  <c r="H40" i="3" s="1"/>
  <c r="I40" i="3" s="1"/>
  <c r="J40" i="3" s="1"/>
  <c r="K40" i="3" s="1"/>
  <c r="L40" i="3" s="1"/>
  <c r="M40" i="3" s="1"/>
  <c r="D40" i="3"/>
  <c r="C40" i="3"/>
  <c r="B40" i="3"/>
  <c r="E26" i="3"/>
  <c r="E43" i="3" s="1"/>
  <c r="B26" i="3"/>
  <c r="B43" i="3" s="1"/>
  <c r="D26" i="3"/>
  <c r="D43" i="3" s="1"/>
  <c r="C26" i="3"/>
  <c r="C43" i="3" s="1"/>
  <c r="C14" i="3"/>
  <c r="D4" i="6" s="1"/>
  <c r="D14" i="3"/>
  <c r="D5" i="6" s="1"/>
  <c r="C16" i="3"/>
  <c r="D16" i="3"/>
  <c r="E16" i="3"/>
  <c r="C18" i="3"/>
  <c r="C19" i="3"/>
  <c r="E19" i="3"/>
  <c r="D20" i="3"/>
  <c r="E20" i="3"/>
  <c r="F20" i="3"/>
  <c r="G20" i="3"/>
  <c r="H20" i="3"/>
  <c r="I20" i="3"/>
  <c r="J20" i="3"/>
  <c r="K20" i="3"/>
  <c r="L20" i="3"/>
  <c r="M20" i="3"/>
  <c r="C21" i="3"/>
  <c r="D21" i="3"/>
  <c r="E21" i="3"/>
  <c r="F21" i="3"/>
  <c r="G21" i="3"/>
  <c r="H21" i="3"/>
  <c r="I21" i="3"/>
  <c r="J21" i="3"/>
  <c r="K21" i="3"/>
  <c r="L21" i="3"/>
  <c r="M21" i="3"/>
  <c r="B21" i="3"/>
  <c r="B20" i="3"/>
  <c r="B18" i="3"/>
  <c r="B17" i="3"/>
  <c r="B15" i="3"/>
  <c r="B14" i="3"/>
  <c r="D7" i="3"/>
  <c r="C6" i="3"/>
  <c r="B6" i="3"/>
  <c r="D5" i="3"/>
  <c r="B5" i="3"/>
  <c r="C2" i="3"/>
  <c r="B1" i="3"/>
  <c r="C1" i="3" s="1"/>
  <c r="D1" i="3" s="1"/>
  <c r="F1" i="3" s="1"/>
  <c r="G1" i="3" s="1"/>
  <c r="H1" i="3" s="1"/>
  <c r="I1" i="3" s="1"/>
  <c r="J1" i="3" s="1"/>
  <c r="K1" i="3" s="1"/>
  <c r="L1" i="3" s="1"/>
  <c r="M1" i="3" s="1"/>
  <c r="D14" i="8"/>
  <c r="I14" i="8" s="1"/>
  <c r="I19" i="3" s="1"/>
  <c r="B14" i="8"/>
  <c r="B19" i="3" s="1"/>
  <c r="C15" i="8"/>
  <c r="C20" i="3" s="1"/>
  <c r="C14" i="8"/>
  <c r="J14" i="8" s="1"/>
  <c r="J19" i="3" s="1"/>
  <c r="B16" i="8"/>
  <c r="E18" i="8"/>
  <c r="E22" i="3" s="1"/>
  <c r="D18" i="8"/>
  <c r="D22" i="3" s="1"/>
  <c r="C18" i="8"/>
  <c r="C22" i="3" s="1"/>
  <c r="B18" i="8"/>
  <c r="B22" i="3" s="1"/>
  <c r="E14" i="8"/>
  <c r="E13" i="8"/>
  <c r="E18" i="3" s="1"/>
  <c r="D13" i="8"/>
  <c r="D18" i="3" s="1"/>
  <c r="C13" i="8"/>
  <c r="B13" i="8"/>
  <c r="E12" i="8"/>
  <c r="E17" i="3" s="1"/>
  <c r="D12" i="8"/>
  <c r="D17" i="3" s="1"/>
  <c r="C12" i="8"/>
  <c r="C17" i="3" s="1"/>
  <c r="B12" i="8"/>
  <c r="E11" i="8"/>
  <c r="D11" i="8"/>
  <c r="C11" i="8"/>
  <c r="B11" i="8"/>
  <c r="B16" i="3" s="1"/>
  <c r="E10" i="8"/>
  <c r="E15" i="3" s="1"/>
  <c r="D10" i="8"/>
  <c r="C10" i="8"/>
  <c r="C17" i="8" s="1"/>
  <c r="B10" i="8"/>
  <c r="E4" i="8"/>
  <c r="E6" i="3" s="1"/>
  <c r="D4" i="8"/>
  <c r="D6" i="3" s="1"/>
  <c r="C4" i="8"/>
  <c r="B4" i="8"/>
  <c r="E3" i="8"/>
  <c r="E5" i="3" s="1"/>
  <c r="D3" i="8"/>
  <c r="D6" i="8" s="1"/>
  <c r="C3" i="8"/>
  <c r="C5" i="3" s="1"/>
  <c r="B3" i="8"/>
  <c r="E9" i="8"/>
  <c r="D9" i="8"/>
  <c r="C9" i="8"/>
  <c r="B9" i="8"/>
  <c r="C2" i="8"/>
  <c r="D2" i="8"/>
  <c r="E2" i="8"/>
  <c r="B1" i="8"/>
  <c r="C1" i="8" s="1"/>
  <c r="D1" i="8" s="1"/>
  <c r="F1" i="8" s="1"/>
  <c r="G1" i="8" s="1"/>
  <c r="H1" i="8" s="1"/>
  <c r="I1" i="8" s="1"/>
  <c r="J1" i="8" s="1"/>
  <c r="K1" i="8" s="1"/>
  <c r="L1" i="8" s="1"/>
  <c r="M1" i="8" s="1"/>
  <c r="E29" i="2"/>
  <c r="E2" i="3" s="1"/>
  <c r="E52" i="3" s="1"/>
  <c r="D29" i="2"/>
  <c r="D2" i="3" s="1"/>
  <c r="D52" i="3" s="1"/>
  <c r="C29" i="2"/>
  <c r="B29" i="2"/>
  <c r="B2" i="8" s="1"/>
  <c r="B5" i="8" s="1"/>
  <c r="G25" i="2"/>
  <c r="H25" i="2"/>
  <c r="I25" i="2"/>
  <c r="J25" i="2"/>
  <c r="K25" i="2"/>
  <c r="L25" i="2"/>
  <c r="M25" i="2"/>
  <c r="F25" i="2"/>
  <c r="E26" i="2"/>
  <c r="D26" i="2"/>
  <c r="C26" i="2"/>
  <c r="B26" i="2"/>
  <c r="B28" i="2" s="1"/>
  <c r="D24" i="2"/>
  <c r="F12" i="2"/>
  <c r="G12" i="2" s="1"/>
  <c r="H12" i="2" s="1"/>
  <c r="F10" i="2"/>
  <c r="F14" i="2"/>
  <c r="G14" i="2"/>
  <c r="H14" i="2"/>
  <c r="I14" i="2"/>
  <c r="J14" i="2"/>
  <c r="K14" i="2"/>
  <c r="L14" i="2"/>
  <c r="M14" i="2"/>
  <c r="F18" i="2"/>
  <c r="G18" i="2"/>
  <c r="H18" i="2"/>
  <c r="I18" i="2"/>
  <c r="J18" i="2"/>
  <c r="K18" i="2"/>
  <c r="L18" i="2"/>
  <c r="M18" i="2"/>
  <c r="C18" i="2"/>
  <c r="D18" i="2"/>
  <c r="E18" i="2"/>
  <c r="B18" i="2"/>
  <c r="C14" i="2"/>
  <c r="D14" i="2"/>
  <c r="E14" i="2"/>
  <c r="B14" i="2"/>
  <c r="H8" i="2"/>
  <c r="I8" i="2"/>
  <c r="J8" i="2"/>
  <c r="K8" i="2"/>
  <c r="L8" i="2"/>
  <c r="M8" i="2"/>
  <c r="G8" i="2"/>
  <c r="E21" i="2"/>
  <c r="E7" i="2" s="1"/>
  <c r="E9" i="2" s="1"/>
  <c r="E11" i="2" s="1"/>
  <c r="D21" i="2"/>
  <c r="D7" i="2" s="1"/>
  <c r="D9" i="2" s="1"/>
  <c r="D11" i="2" s="1"/>
  <c r="C21" i="2"/>
  <c r="C7" i="2" s="1"/>
  <c r="C9" i="2" s="1"/>
  <c r="C11" i="2" s="1"/>
  <c r="B21" i="2"/>
  <c r="B7" i="2" s="1"/>
  <c r="B9" i="2" s="1"/>
  <c r="B11" i="2" s="1"/>
  <c r="F8" i="2"/>
  <c r="D4" i="2"/>
  <c r="E4" i="2"/>
  <c r="C4" i="2"/>
  <c r="F3" i="2"/>
  <c r="G2" i="2" s="1"/>
  <c r="G3" i="2" s="1"/>
  <c r="G4" i="2" s="1"/>
  <c r="F2" i="2"/>
  <c r="B1" i="2"/>
  <c r="C1" i="2" s="1"/>
  <c r="D1" i="2" s="1"/>
  <c r="F1" i="2" s="1"/>
  <c r="G1" i="2" s="1"/>
  <c r="H1" i="2" s="1"/>
  <c r="I1" i="2" s="1"/>
  <c r="J1" i="2" s="1"/>
  <c r="K1" i="2" s="1"/>
  <c r="L1" i="2" s="1"/>
  <c r="M1" i="2" s="1"/>
  <c r="D5" i="8"/>
  <c r="F24" i="2"/>
  <c r="G24" i="2" s="1"/>
  <c r="H24" i="2" s="1"/>
  <c r="C24" i="2"/>
  <c r="F5" i="6" l="1"/>
  <c r="E5" i="6"/>
  <c r="F4" i="6"/>
  <c r="E4" i="6"/>
  <c r="C4" i="6"/>
  <c r="C5" i="6" s="1"/>
  <c r="C6" i="6" s="1"/>
  <c r="C7" i="6" s="1"/>
  <c r="C8" i="6" s="1"/>
  <c r="C9" i="6" s="1"/>
  <c r="C10" i="6" s="1"/>
  <c r="C11" i="6" s="1"/>
  <c r="C12" i="6" s="1"/>
  <c r="C13" i="6" s="1"/>
  <c r="C14" i="6" s="1"/>
  <c r="F32" i="4"/>
  <c r="C16" i="10"/>
  <c r="C18" i="10" s="1"/>
  <c r="C23" i="4"/>
  <c r="C24" i="4" s="1"/>
  <c r="D17" i="8"/>
  <c r="F14" i="8"/>
  <c r="F19" i="3" s="1"/>
  <c r="D19" i="3"/>
  <c r="E47" i="3"/>
  <c r="G14" i="8"/>
  <c r="G19" i="3" s="1"/>
  <c r="D49" i="3"/>
  <c r="D42" i="4"/>
  <c r="M14" i="8"/>
  <c r="M19" i="3" s="1"/>
  <c r="L14" i="8"/>
  <c r="L19" i="3" s="1"/>
  <c r="K14" i="8"/>
  <c r="K19" i="3" s="1"/>
  <c r="E49" i="3"/>
  <c r="B2" i="3"/>
  <c r="B52" i="3" s="1"/>
  <c r="D15" i="3"/>
  <c r="B47" i="3"/>
  <c r="D3" i="5"/>
  <c r="D34" i="4"/>
  <c r="E17" i="8"/>
  <c r="C15" i="3"/>
  <c r="B49" i="3"/>
  <c r="C61" i="5"/>
  <c r="E61" i="5"/>
  <c r="B17" i="8"/>
  <c r="H14" i="8"/>
  <c r="H19" i="3" s="1"/>
  <c r="E14" i="3"/>
  <c r="D6" i="6" s="1"/>
  <c r="F6" i="6" s="1"/>
  <c r="C49" i="3"/>
  <c r="D47" i="3"/>
  <c r="M28" i="10"/>
  <c r="B54" i="6"/>
  <c r="B56" i="6" s="1"/>
  <c r="D8" i="4"/>
  <c r="B8" i="4"/>
  <c r="B23" i="4" s="1"/>
  <c r="B24" i="4" s="1"/>
  <c r="B19" i="6"/>
  <c r="B21" i="6"/>
  <c r="C7" i="4"/>
  <c r="B7" i="4"/>
  <c r="C8" i="4"/>
  <c r="F5" i="4"/>
  <c r="G5" i="4" s="1"/>
  <c r="H5" i="4" s="1"/>
  <c r="I5" i="4" s="1"/>
  <c r="J5" i="4" s="1"/>
  <c r="K5" i="4" s="1"/>
  <c r="L5" i="4" s="1"/>
  <c r="M59" i="5" s="1"/>
  <c r="M40" i="5"/>
  <c r="F59" i="5"/>
  <c r="L59" i="5"/>
  <c r="F40" i="5"/>
  <c r="H40" i="5"/>
  <c r="M28" i="5"/>
  <c r="M29" i="5" s="1"/>
  <c r="M37" i="5" s="1"/>
  <c r="H28" i="5"/>
  <c r="H29" i="5" s="1"/>
  <c r="J40" i="5"/>
  <c r="G28" i="5"/>
  <c r="G29" i="5" s="1"/>
  <c r="G37" i="5" s="1"/>
  <c r="L28" i="5"/>
  <c r="L29" i="5" s="1"/>
  <c r="L37" i="5" s="1"/>
  <c r="L40" i="5"/>
  <c r="I28" i="5"/>
  <c r="I29" i="5" s="1"/>
  <c r="I37" i="5" s="1"/>
  <c r="K40" i="5"/>
  <c r="F28" i="5"/>
  <c r="F29" i="5" s="1"/>
  <c r="F37" i="5" s="1"/>
  <c r="I40" i="5"/>
  <c r="B61" i="5"/>
  <c r="E62" i="5"/>
  <c r="C44" i="1"/>
  <c r="F45" i="5"/>
  <c r="E47" i="5"/>
  <c r="C62" i="5"/>
  <c r="E37" i="5"/>
  <c r="D7" i="4"/>
  <c r="C42" i="1"/>
  <c r="C38" i="1"/>
  <c r="C35" i="1"/>
  <c r="E24" i="5"/>
  <c r="D47" i="5"/>
  <c r="C47" i="5"/>
  <c r="B24" i="5"/>
  <c r="D37" i="5"/>
  <c r="D62" i="5"/>
  <c r="C24" i="5"/>
  <c r="C37" i="5"/>
  <c r="B47" i="5"/>
  <c r="B62" i="5"/>
  <c r="D24" i="5"/>
  <c r="B37" i="5"/>
  <c r="C39" i="1"/>
  <c r="F17" i="4" s="1"/>
  <c r="C37" i="1"/>
  <c r="F16" i="2"/>
  <c r="K44" i="3"/>
  <c r="E32" i="3"/>
  <c r="F32" i="3" s="1"/>
  <c r="G32" i="3" s="1"/>
  <c r="H32" i="3" s="1"/>
  <c r="I32" i="3" s="1"/>
  <c r="J32" i="3" s="1"/>
  <c r="K32" i="3" s="1"/>
  <c r="L32" i="3" s="1"/>
  <c r="M32" i="3" s="1"/>
  <c r="C31" i="3"/>
  <c r="B30" i="3"/>
  <c r="D32" i="3"/>
  <c r="C32" i="3" s="1"/>
  <c r="B31" i="3"/>
  <c r="C30" i="3"/>
  <c r="C36" i="3"/>
  <c r="G30" i="3"/>
  <c r="H30" i="3" s="1"/>
  <c r="I30" i="3" s="1"/>
  <c r="J30" i="3" s="1"/>
  <c r="K30" i="3" s="1"/>
  <c r="L30" i="3" s="1"/>
  <c r="M30" i="3" s="1"/>
  <c r="B36" i="3"/>
  <c r="E36" i="3"/>
  <c r="D36" i="3"/>
  <c r="C5" i="8"/>
  <c r="B24" i="2"/>
  <c r="B25" i="2" s="1"/>
  <c r="E24" i="2"/>
  <c r="E25" i="2" s="1"/>
  <c r="E5" i="8"/>
  <c r="B10" i="3"/>
  <c r="D10" i="3"/>
  <c r="E6" i="8"/>
  <c r="E7" i="3" s="1"/>
  <c r="E10" i="3" s="1"/>
  <c r="B6" i="8"/>
  <c r="B7" i="3" s="1"/>
  <c r="C6" i="8"/>
  <c r="C7" i="3" s="1"/>
  <c r="C10" i="3" s="1"/>
  <c r="G26" i="2"/>
  <c r="C25" i="2"/>
  <c r="G10" i="2"/>
  <c r="H10" i="2" s="1"/>
  <c r="H16" i="2" s="1"/>
  <c r="F26" i="2"/>
  <c r="C28" i="2"/>
  <c r="D28" i="2"/>
  <c r="E28" i="2"/>
  <c r="I24" i="2"/>
  <c r="J24" i="2" s="1"/>
  <c r="H26" i="2"/>
  <c r="D25" i="2"/>
  <c r="E13" i="2"/>
  <c r="I12" i="2"/>
  <c r="C13" i="2"/>
  <c r="D13" i="2"/>
  <c r="E17" i="2"/>
  <c r="E19" i="2" s="1"/>
  <c r="B17" i="2"/>
  <c r="B19" i="2" s="1"/>
  <c r="D17" i="2"/>
  <c r="D19" i="2" s="1"/>
  <c r="C17" i="2"/>
  <c r="C19" i="2" s="1"/>
  <c r="B13" i="2"/>
  <c r="F4" i="2"/>
  <c r="F5" i="2"/>
  <c r="H2" i="2"/>
  <c r="H3" i="2" s="1"/>
  <c r="I59" i="5" l="1"/>
  <c r="G59" i="5"/>
  <c r="H59" i="5"/>
  <c r="D23" i="4"/>
  <c r="D24" i="4" s="1"/>
  <c r="E6" i="6"/>
  <c r="C36" i="1"/>
  <c r="M31" i="10"/>
  <c r="M25" i="10"/>
  <c r="B55" i="6"/>
  <c r="B60" i="6" s="1"/>
  <c r="B2" i="10"/>
  <c r="J59" i="5"/>
  <c r="K59" i="5"/>
  <c r="F47" i="5"/>
  <c r="J28" i="5"/>
  <c r="J29" i="5" s="1"/>
  <c r="J37" i="5" s="1"/>
  <c r="H37" i="5"/>
  <c r="K28" i="5"/>
  <c r="K29" i="5" s="1"/>
  <c r="K37" i="5" s="1"/>
  <c r="G40" i="5"/>
  <c r="G17" i="4"/>
  <c r="B23" i="6"/>
  <c r="E51" i="5"/>
  <c r="Q54" i="5"/>
  <c r="R54" i="5" s="1"/>
  <c r="Q55" i="5"/>
  <c r="R55" i="5" s="1"/>
  <c r="C51" i="5"/>
  <c r="D51" i="5"/>
  <c r="B51" i="5"/>
  <c r="B53" i="5" s="1"/>
  <c r="C52" i="5" s="1"/>
  <c r="I10" i="2"/>
  <c r="L44" i="3"/>
  <c r="B32" i="3"/>
  <c r="F33" i="3"/>
  <c r="G33" i="3" s="1"/>
  <c r="H33" i="3" s="1"/>
  <c r="I33" i="3" s="1"/>
  <c r="J33" i="3" s="1"/>
  <c r="K33" i="3" s="1"/>
  <c r="L33" i="3" s="1"/>
  <c r="M33" i="3" s="1"/>
  <c r="I26" i="2"/>
  <c r="C11" i="3"/>
  <c r="C25" i="3"/>
  <c r="C27" i="3" s="1"/>
  <c r="E11" i="3"/>
  <c r="E25" i="3"/>
  <c r="E27" i="3" s="1"/>
  <c r="B11" i="3"/>
  <c r="B25" i="3"/>
  <c r="B27" i="3" s="1"/>
  <c r="D11" i="3"/>
  <c r="D25" i="3"/>
  <c r="D27" i="3" s="1"/>
  <c r="G16" i="2"/>
  <c r="K24" i="2"/>
  <c r="J26" i="2"/>
  <c r="J12" i="2"/>
  <c r="I16" i="2"/>
  <c r="J10" i="2"/>
  <c r="K10" i="2" s="1"/>
  <c r="L10" i="2" s="1"/>
  <c r="M10" i="2" s="1"/>
  <c r="C6" i="2"/>
  <c r="B6" i="2"/>
  <c r="D6" i="2"/>
  <c r="E6" i="2"/>
  <c r="F6" i="2" s="1"/>
  <c r="F21" i="2" s="1"/>
  <c r="F29" i="2" s="1"/>
  <c r="H5" i="2"/>
  <c r="G5" i="2"/>
  <c r="M46" i="10" l="1"/>
  <c r="M43" i="10"/>
  <c r="M34" i="10"/>
  <c r="M37" i="10"/>
  <c r="H17" i="4"/>
  <c r="B24" i="6"/>
  <c r="C53" i="5"/>
  <c r="D52" i="5" s="1"/>
  <c r="S55" i="5" s="1"/>
  <c r="D53" i="5"/>
  <c r="E52" i="5" s="1"/>
  <c r="E53" i="5" s="1"/>
  <c r="F52" i="5" s="1"/>
  <c r="M44" i="3"/>
  <c r="F2" i="8"/>
  <c r="F3" i="8" s="1"/>
  <c r="F2" i="3"/>
  <c r="J16" i="2"/>
  <c r="F4" i="8"/>
  <c r="F6" i="3" s="1"/>
  <c r="L24" i="2"/>
  <c r="K26" i="2"/>
  <c r="F7" i="2"/>
  <c r="F9" i="2" s="1"/>
  <c r="F13" i="2" s="1"/>
  <c r="F15" i="2" s="1"/>
  <c r="K12" i="2"/>
  <c r="K16" i="2" s="1"/>
  <c r="L6" i="2"/>
  <c r="G6" i="2"/>
  <c r="G21" i="2" s="1"/>
  <c r="J6" i="2"/>
  <c r="M6" i="2"/>
  <c r="I6" i="2"/>
  <c r="K6" i="2"/>
  <c r="H6" i="2"/>
  <c r="H21" i="2" s="1"/>
  <c r="I2" i="2"/>
  <c r="I3" i="2" s="1"/>
  <c r="H4" i="2"/>
  <c r="E10" i="4" l="1"/>
  <c r="F51" i="3"/>
  <c r="F52" i="3" s="1"/>
  <c r="G52" i="3" s="1"/>
  <c r="H52" i="3" s="1"/>
  <c r="I52" i="3" s="1"/>
  <c r="J52" i="3" s="1"/>
  <c r="K52" i="3" s="1"/>
  <c r="L52" i="3" s="1"/>
  <c r="M52" i="3" s="1"/>
  <c r="I17" i="4"/>
  <c r="B25" i="6"/>
  <c r="S54" i="5"/>
  <c r="F17" i="2"/>
  <c r="F19" i="2" s="1"/>
  <c r="F11" i="2"/>
  <c r="F6" i="8"/>
  <c r="F7" i="3" s="1"/>
  <c r="F10" i="3" s="1"/>
  <c r="F5" i="3"/>
  <c r="F11" i="8"/>
  <c r="F10" i="8"/>
  <c r="F15" i="3" s="1"/>
  <c r="F9" i="8"/>
  <c r="F5" i="8"/>
  <c r="F13" i="8"/>
  <c r="F18" i="3" s="1"/>
  <c r="F12" i="8"/>
  <c r="F17" i="3" s="1"/>
  <c r="H7" i="2"/>
  <c r="H9" i="2" s="1"/>
  <c r="H13" i="2" s="1"/>
  <c r="H15" i="2" s="1"/>
  <c r="H29" i="2"/>
  <c r="G7" i="2"/>
  <c r="G9" i="2" s="1"/>
  <c r="G13" i="2" s="1"/>
  <c r="G15" i="2" s="1"/>
  <c r="G29" i="2"/>
  <c r="M24" i="2"/>
  <c r="M26" i="2" s="1"/>
  <c r="L26" i="2"/>
  <c r="L12" i="2"/>
  <c r="L16" i="2" s="1"/>
  <c r="J2" i="2"/>
  <c r="J3" i="2" s="1"/>
  <c r="I4" i="2"/>
  <c r="I5" i="2"/>
  <c r="F17" i="8" l="1"/>
  <c r="F16" i="3"/>
  <c r="F5" i="5"/>
  <c r="F20" i="2"/>
  <c r="F20" i="5"/>
  <c r="J17" i="4"/>
  <c r="B26" i="6"/>
  <c r="G2" i="8"/>
  <c r="G2" i="3"/>
  <c r="H2" i="8"/>
  <c r="H2" i="3"/>
  <c r="G17" i="2"/>
  <c r="G19" i="2" s="1"/>
  <c r="F11" i="3"/>
  <c r="F14" i="3"/>
  <c r="D7" i="6" s="1"/>
  <c r="F18" i="8"/>
  <c r="F22" i="3" s="1"/>
  <c r="H17" i="2"/>
  <c r="H19" i="2" s="1"/>
  <c r="H11" i="2"/>
  <c r="F22" i="2"/>
  <c r="F28" i="2"/>
  <c r="G11" i="2"/>
  <c r="I21" i="2"/>
  <c r="M12" i="2"/>
  <c r="M16" i="2" s="1"/>
  <c r="K2" i="2"/>
  <c r="K3" i="2" s="1"/>
  <c r="J4" i="2"/>
  <c r="J5" i="2"/>
  <c r="G10" i="4" l="1"/>
  <c r="H51" i="3"/>
  <c r="G28" i="4"/>
  <c r="F10" i="4"/>
  <c r="G51" i="3"/>
  <c r="F28" i="4"/>
  <c r="E12" i="4"/>
  <c r="E29" i="4"/>
  <c r="F7" i="6"/>
  <c r="E7" i="6"/>
  <c r="K17" i="4"/>
  <c r="B27" i="6"/>
  <c r="F25" i="3"/>
  <c r="F27" i="3" s="1"/>
  <c r="F26" i="3"/>
  <c r="F43" i="3" s="1"/>
  <c r="G20" i="2"/>
  <c r="G28" i="2" s="1"/>
  <c r="H20" i="2"/>
  <c r="H22" i="2" s="1"/>
  <c r="H11" i="8"/>
  <c r="H5" i="5" s="1"/>
  <c r="H10" i="8"/>
  <c r="H15" i="3" s="1"/>
  <c r="H9" i="8"/>
  <c r="H5" i="8"/>
  <c r="H13" i="8"/>
  <c r="H18" i="3" s="1"/>
  <c r="H12" i="8"/>
  <c r="H17" i="3" s="1"/>
  <c r="G10" i="8"/>
  <c r="G9" i="8"/>
  <c r="G5" i="8"/>
  <c r="G3" i="8"/>
  <c r="G4" i="8"/>
  <c r="G13" i="8"/>
  <c r="G18" i="3" s="1"/>
  <c r="G12" i="8"/>
  <c r="G17" i="3" s="1"/>
  <c r="G11" i="8"/>
  <c r="I7" i="2"/>
  <c r="I9" i="2" s="1"/>
  <c r="I17" i="2" s="1"/>
  <c r="I19" i="2" s="1"/>
  <c r="I29" i="2"/>
  <c r="J21" i="2"/>
  <c r="L2" i="2"/>
  <c r="L3" i="2" s="1"/>
  <c r="K4" i="2"/>
  <c r="K5" i="2"/>
  <c r="F22" i="5" l="1"/>
  <c r="E34" i="4"/>
  <c r="H17" i="5"/>
  <c r="H22" i="5"/>
  <c r="F21" i="5"/>
  <c r="E13" i="4"/>
  <c r="G16" i="3"/>
  <c r="G5" i="5"/>
  <c r="F37" i="3"/>
  <c r="F48" i="3" s="1"/>
  <c r="G20" i="5"/>
  <c r="F36" i="3"/>
  <c r="F47" i="3" s="1"/>
  <c r="H20" i="5"/>
  <c r="G17" i="5"/>
  <c r="G42" i="5" s="1"/>
  <c r="L17" i="4"/>
  <c r="B29" i="6" s="1"/>
  <c r="B28" i="6"/>
  <c r="H28" i="2"/>
  <c r="I13" i="2"/>
  <c r="I15" i="2" s="1"/>
  <c r="I11" i="2"/>
  <c r="G22" i="2"/>
  <c r="H14" i="3"/>
  <c r="D9" i="6" s="1"/>
  <c r="F9" i="6" s="1"/>
  <c r="H17" i="8"/>
  <c r="H3" i="8"/>
  <c r="G5" i="3"/>
  <c r="G6" i="8"/>
  <c r="G7" i="3" s="1"/>
  <c r="G10" i="3" s="1"/>
  <c r="H4" i="8"/>
  <c r="G6" i="3"/>
  <c r="I2" i="8"/>
  <c r="I2" i="3"/>
  <c r="G14" i="3"/>
  <c r="D8" i="6" s="1"/>
  <c r="F8" i="6" s="1"/>
  <c r="G17" i="8"/>
  <c r="G18" i="8"/>
  <c r="G22" i="3" s="1"/>
  <c r="G15" i="3"/>
  <c r="H18" i="8"/>
  <c r="H22" i="3" s="1"/>
  <c r="H16" i="3"/>
  <c r="J7" i="2"/>
  <c r="J9" i="2" s="1"/>
  <c r="J13" i="2" s="1"/>
  <c r="J15" i="2" s="1"/>
  <c r="J29" i="2"/>
  <c r="K21" i="2"/>
  <c r="M2" i="2"/>
  <c r="M3" i="2" s="1"/>
  <c r="M4" i="2" s="1"/>
  <c r="L4" i="2"/>
  <c r="L5" i="2"/>
  <c r="H42" i="5" l="1"/>
  <c r="G47" i="5"/>
  <c r="G12" i="4"/>
  <c r="G13" i="4" s="1"/>
  <c r="G29" i="4"/>
  <c r="G34" i="4" s="1"/>
  <c r="G22" i="5"/>
  <c r="F12" i="4"/>
  <c r="F29" i="4"/>
  <c r="F34" i="4" s="1"/>
  <c r="H10" i="4"/>
  <c r="I51" i="3"/>
  <c r="H28" i="4"/>
  <c r="I20" i="2"/>
  <c r="I22" i="2" s="1"/>
  <c r="E8" i="6"/>
  <c r="E9" i="6" s="1"/>
  <c r="F49" i="3"/>
  <c r="F3" i="5"/>
  <c r="F24" i="5" s="1"/>
  <c r="F51" i="5" s="1"/>
  <c r="E41" i="4"/>
  <c r="H21" i="5"/>
  <c r="J17" i="2"/>
  <c r="J19" i="2" s="1"/>
  <c r="J11" i="2"/>
  <c r="I12" i="8"/>
  <c r="I11" i="8"/>
  <c r="I10" i="8"/>
  <c r="I15" i="3" s="1"/>
  <c r="I9" i="8"/>
  <c r="I5" i="8"/>
  <c r="I13" i="8"/>
  <c r="I18" i="3" s="1"/>
  <c r="I3" i="8"/>
  <c r="I4" i="8"/>
  <c r="H6" i="3"/>
  <c r="G26" i="3"/>
  <c r="G11" i="3"/>
  <c r="G25" i="3"/>
  <c r="J2" i="8"/>
  <c r="J2" i="3"/>
  <c r="H5" i="3"/>
  <c r="H6" i="8"/>
  <c r="H7" i="3" s="1"/>
  <c r="H10" i="3" s="1"/>
  <c r="I28" i="2"/>
  <c r="K7" i="2"/>
  <c r="K9" i="2" s="1"/>
  <c r="K17" i="2" s="1"/>
  <c r="K19" i="2" s="1"/>
  <c r="K29" i="2"/>
  <c r="L21" i="2"/>
  <c r="M5" i="2"/>
  <c r="B15" i="2"/>
  <c r="B20" i="2" s="1"/>
  <c r="B22" i="2" s="1"/>
  <c r="C15" i="2"/>
  <c r="C20" i="2" s="1"/>
  <c r="C22" i="2" s="1"/>
  <c r="D15" i="2"/>
  <c r="D20" i="2" s="1"/>
  <c r="D22" i="2" s="1"/>
  <c r="E15" i="2"/>
  <c r="E20" i="2" s="1"/>
  <c r="E22" i="2" s="1"/>
  <c r="I17" i="5" l="1"/>
  <c r="I22" i="5"/>
  <c r="E42" i="4"/>
  <c r="I16" i="3"/>
  <c r="I5" i="5"/>
  <c r="G21" i="5"/>
  <c r="F13" i="4"/>
  <c r="E10" i="6"/>
  <c r="I10" i="4"/>
  <c r="J51" i="3"/>
  <c r="I28" i="4"/>
  <c r="I20" i="5"/>
  <c r="H47" i="5"/>
  <c r="I42" i="5"/>
  <c r="J20" i="2"/>
  <c r="J22" i="2" s="1"/>
  <c r="J28" i="2"/>
  <c r="K11" i="2"/>
  <c r="G27" i="3"/>
  <c r="G36" i="3"/>
  <c r="G47" i="3" s="1"/>
  <c r="G43" i="3"/>
  <c r="G37" i="3"/>
  <c r="G48" i="3" s="1"/>
  <c r="F41" i="4" s="1"/>
  <c r="J4" i="8"/>
  <c r="I6" i="3"/>
  <c r="I5" i="3"/>
  <c r="I6" i="8"/>
  <c r="I7" i="3" s="1"/>
  <c r="I10" i="3" s="1"/>
  <c r="I14" i="3"/>
  <c r="D10" i="6" s="1"/>
  <c r="F10" i="6" s="1"/>
  <c r="I17" i="8"/>
  <c r="H26" i="3"/>
  <c r="H11" i="3"/>
  <c r="H25" i="3"/>
  <c r="K2" i="8"/>
  <c r="K2" i="3"/>
  <c r="J13" i="8"/>
  <c r="J12" i="8"/>
  <c r="J17" i="3" s="1"/>
  <c r="J11" i="8"/>
  <c r="J10" i="8"/>
  <c r="J15" i="3" s="1"/>
  <c r="J9" i="8"/>
  <c r="J5" i="8"/>
  <c r="J3" i="8"/>
  <c r="K13" i="2"/>
  <c r="K15" i="2" s="1"/>
  <c r="I18" i="8"/>
  <c r="I22" i="3" s="1"/>
  <c r="I17" i="3"/>
  <c r="L7" i="2"/>
  <c r="L9" i="2" s="1"/>
  <c r="L17" i="2" s="1"/>
  <c r="L19" i="2" s="1"/>
  <c r="L29" i="2"/>
  <c r="M21" i="2"/>
  <c r="F42" i="4" l="1"/>
  <c r="J16" i="3"/>
  <c r="J5" i="5"/>
  <c r="G24" i="5"/>
  <c r="G51" i="5" s="1"/>
  <c r="J10" i="4"/>
  <c r="K51" i="3"/>
  <c r="J28" i="4"/>
  <c r="H12" i="4"/>
  <c r="H29" i="4"/>
  <c r="H34" i="4" s="1"/>
  <c r="J20" i="5"/>
  <c r="J17" i="5"/>
  <c r="J42" i="5" s="1"/>
  <c r="G49" i="3"/>
  <c r="G3" i="5"/>
  <c r="I47" i="5"/>
  <c r="K20" i="2"/>
  <c r="K28" i="2" s="1"/>
  <c r="H27" i="3"/>
  <c r="H36" i="3"/>
  <c r="H47" i="3" s="1"/>
  <c r="H43" i="3"/>
  <c r="H37" i="3"/>
  <c r="H48" i="3" s="1"/>
  <c r="L13" i="2"/>
  <c r="L15" i="2" s="1"/>
  <c r="L2" i="8"/>
  <c r="L2" i="3"/>
  <c r="I11" i="3"/>
  <c r="I26" i="3"/>
  <c r="I25" i="3"/>
  <c r="L11" i="2"/>
  <c r="J5" i="3"/>
  <c r="J6" i="8"/>
  <c r="J7" i="3" s="1"/>
  <c r="J10" i="3" s="1"/>
  <c r="K13" i="8"/>
  <c r="K18" i="3" s="1"/>
  <c r="K12" i="8"/>
  <c r="K17" i="3" s="1"/>
  <c r="K11" i="8"/>
  <c r="K10" i="8"/>
  <c r="K15" i="3" s="1"/>
  <c r="K9" i="8"/>
  <c r="K5" i="8"/>
  <c r="K3" i="8"/>
  <c r="J17" i="8"/>
  <c r="J18" i="3"/>
  <c r="J14" i="3"/>
  <c r="D11" i="6" s="1"/>
  <c r="F11" i="6" s="1"/>
  <c r="J18" i="8"/>
  <c r="J22" i="3" s="1"/>
  <c r="K4" i="8"/>
  <c r="J6" i="3"/>
  <c r="M7" i="2"/>
  <c r="M9" i="2" s="1"/>
  <c r="M13" i="2" s="1"/>
  <c r="M15" i="2" s="1"/>
  <c r="M29" i="2"/>
  <c r="J47" i="5" l="1"/>
  <c r="H49" i="3"/>
  <c r="H3" i="5"/>
  <c r="H24" i="5" s="1"/>
  <c r="H51" i="5" s="1"/>
  <c r="J22" i="5"/>
  <c r="K20" i="5"/>
  <c r="I12" i="4"/>
  <c r="I29" i="4"/>
  <c r="I34" i="4" s="1"/>
  <c r="K16" i="3"/>
  <c r="K5" i="5"/>
  <c r="K10" i="4"/>
  <c r="L51" i="3"/>
  <c r="K28" i="4"/>
  <c r="K17" i="5"/>
  <c r="K42" i="5" s="1"/>
  <c r="K22" i="5"/>
  <c r="E11" i="6"/>
  <c r="I21" i="5"/>
  <c r="H13" i="4"/>
  <c r="G41" i="4"/>
  <c r="K22" i="2"/>
  <c r="L20" i="2"/>
  <c r="L28" i="2" s="1"/>
  <c r="I27" i="3"/>
  <c r="I36" i="3"/>
  <c r="I47" i="3" s="1"/>
  <c r="I43" i="3"/>
  <c r="I37" i="3"/>
  <c r="I48" i="3" s="1"/>
  <c r="K14" i="3"/>
  <c r="D12" i="6" s="1"/>
  <c r="F12" i="6" s="1"/>
  <c r="K18" i="8"/>
  <c r="K22" i="3" s="1"/>
  <c r="K17" i="8"/>
  <c r="M2" i="8"/>
  <c r="M2" i="3"/>
  <c r="L5" i="8"/>
  <c r="L13" i="8"/>
  <c r="L18" i="3" s="1"/>
  <c r="L12" i="8"/>
  <c r="L17" i="3" s="1"/>
  <c r="L11" i="8"/>
  <c r="L10" i="8"/>
  <c r="L15" i="3" s="1"/>
  <c r="L9" i="8"/>
  <c r="L3" i="8"/>
  <c r="L4" i="8"/>
  <c r="K6" i="3"/>
  <c r="K5" i="3"/>
  <c r="K6" i="8"/>
  <c r="K7" i="3" s="1"/>
  <c r="K10" i="3" s="1"/>
  <c r="J26" i="3"/>
  <c r="J11" i="3"/>
  <c r="J25" i="3"/>
  <c r="M11" i="2"/>
  <c r="M17" i="2"/>
  <c r="M19" i="2" s="1"/>
  <c r="K47" i="5" l="1"/>
  <c r="J21" i="5"/>
  <c r="I13" i="4"/>
  <c r="L10" i="4"/>
  <c r="M51" i="3"/>
  <c r="L17" i="10" s="1"/>
  <c r="L19" i="10" s="1"/>
  <c r="L28" i="4"/>
  <c r="J12" i="4"/>
  <c r="J29" i="4"/>
  <c r="J34" i="4" s="1"/>
  <c r="L17" i="5"/>
  <c r="L42" i="5" s="1"/>
  <c r="L22" i="5"/>
  <c r="L20" i="5"/>
  <c r="I49" i="3"/>
  <c r="I3" i="5"/>
  <c r="I24" i="5" s="1"/>
  <c r="I51" i="5" s="1"/>
  <c r="L16" i="3"/>
  <c r="L5" i="5"/>
  <c r="H41" i="4"/>
  <c r="G42" i="4"/>
  <c r="L22" i="2"/>
  <c r="E12" i="6"/>
  <c r="E13" i="6" s="1"/>
  <c r="M20" i="2"/>
  <c r="M22" i="2" s="1"/>
  <c r="J43" i="3"/>
  <c r="J37" i="3"/>
  <c r="J48" i="3" s="1"/>
  <c r="J27" i="3"/>
  <c r="J36" i="3"/>
  <c r="J47" i="3" s="1"/>
  <c r="M4" i="8"/>
  <c r="M6" i="3" s="1"/>
  <c r="L6" i="3"/>
  <c r="L5" i="3"/>
  <c r="L6" i="8"/>
  <c r="L7" i="3" s="1"/>
  <c r="L10" i="3" s="1"/>
  <c r="L14" i="3"/>
  <c r="D13" i="6" s="1"/>
  <c r="F13" i="6" s="1"/>
  <c r="L17" i="8"/>
  <c r="L18" i="8"/>
  <c r="L22" i="3" s="1"/>
  <c r="M5" i="8"/>
  <c r="M13" i="8"/>
  <c r="M18" i="3" s="1"/>
  <c r="M12" i="8"/>
  <c r="M17" i="3" s="1"/>
  <c r="M11" i="8"/>
  <c r="M10" i="8"/>
  <c r="M15" i="3" s="1"/>
  <c r="M9" i="8"/>
  <c r="M3" i="8"/>
  <c r="K26" i="3"/>
  <c r="K11" i="3"/>
  <c r="K25" i="3"/>
  <c r="L47" i="5" l="1"/>
  <c r="M28" i="2"/>
  <c r="M16" i="3"/>
  <c r="M5" i="5"/>
  <c r="M22" i="5" s="1"/>
  <c r="E14" i="6"/>
  <c r="M20" i="5"/>
  <c r="I41" i="4"/>
  <c r="H42" i="4"/>
  <c r="J49" i="3"/>
  <c r="J3" i="5"/>
  <c r="J24" i="5" s="1"/>
  <c r="J51" i="5" s="1"/>
  <c r="K12" i="4"/>
  <c r="K29" i="4"/>
  <c r="K34" i="4" s="1"/>
  <c r="M17" i="5"/>
  <c r="M42" i="5" s="1"/>
  <c r="M47" i="5" s="1"/>
  <c r="K21" i="5"/>
  <c r="J13" i="4"/>
  <c r="K27" i="3"/>
  <c r="K36" i="3"/>
  <c r="K47" i="3" s="1"/>
  <c r="K43" i="3"/>
  <c r="K37" i="3"/>
  <c r="K48" i="3" s="1"/>
  <c r="M6" i="8"/>
  <c r="M7" i="3" s="1"/>
  <c r="M10" i="3" s="1"/>
  <c r="M5" i="3"/>
  <c r="M17" i="8"/>
  <c r="M14" i="3"/>
  <c r="D14" i="6" s="1"/>
  <c r="F14" i="6" s="1"/>
  <c r="M18" i="8"/>
  <c r="M22" i="3" s="1"/>
  <c r="L26" i="3"/>
  <c r="L11" i="3"/>
  <c r="L25" i="3"/>
  <c r="L12" i="4" l="1"/>
  <c r="L29" i="4"/>
  <c r="L34" i="4" s="1"/>
  <c r="L21" i="5"/>
  <c r="K13" i="4"/>
  <c r="K49" i="3"/>
  <c r="K3" i="5"/>
  <c r="K24" i="5"/>
  <c r="K51" i="5" s="1"/>
  <c r="J41" i="4"/>
  <c r="I42" i="4"/>
  <c r="L27" i="3"/>
  <c r="L36" i="3"/>
  <c r="L47" i="3" s="1"/>
  <c r="L43" i="3"/>
  <c r="L37" i="3"/>
  <c r="L48" i="3" s="1"/>
  <c r="M26" i="3"/>
  <c r="M11" i="3"/>
  <c r="M25" i="3"/>
  <c r="K41" i="4" l="1"/>
  <c r="J42" i="4"/>
  <c r="L49" i="3"/>
  <c r="L3" i="5"/>
  <c r="L24" i="5"/>
  <c r="L51" i="5" s="1"/>
  <c r="M21" i="5"/>
  <c r="L13" i="4"/>
  <c r="M27" i="3"/>
  <c r="M36" i="3"/>
  <c r="M47" i="3" s="1"/>
  <c r="M43" i="3"/>
  <c r="M37" i="3"/>
  <c r="M48" i="3" s="1"/>
  <c r="F53" i="5"/>
  <c r="F62" i="5" s="1"/>
  <c r="G52" i="5"/>
  <c r="G53" i="5" s="1"/>
  <c r="M49" i="3" l="1"/>
  <c r="M3" i="5"/>
  <c r="M24" i="5" s="1"/>
  <c r="M51" i="5" s="1"/>
  <c r="L41" i="4"/>
  <c r="L42" i="4" s="1"/>
  <c r="K42" i="4"/>
  <c r="E7" i="4"/>
  <c r="F56" i="5"/>
  <c r="F57" i="5"/>
  <c r="H52" i="5"/>
  <c r="H53" i="5" s="1"/>
  <c r="G62" i="5"/>
  <c r="F58" i="5"/>
  <c r="E4" i="4" l="1"/>
  <c r="E8" i="4" s="1"/>
  <c r="E23" i="4" s="1"/>
  <c r="E24" i="4" s="1"/>
  <c r="C2" i="10"/>
  <c r="C3" i="10" s="1"/>
  <c r="F60" i="5"/>
  <c r="E6" i="4" s="1"/>
  <c r="F7" i="4"/>
  <c r="G56" i="5"/>
  <c r="G57" i="5"/>
  <c r="G58" i="5"/>
  <c r="I52" i="5"/>
  <c r="I53" i="5" s="1"/>
  <c r="H62" i="5"/>
  <c r="G7" i="4" s="1"/>
  <c r="C4" i="10" l="1"/>
  <c r="C8" i="10" s="1"/>
  <c r="G60" i="5"/>
  <c r="F6" i="4" s="1"/>
  <c r="F61" i="5"/>
  <c r="J52" i="5"/>
  <c r="J53" i="5" s="1"/>
  <c r="I62" i="5"/>
  <c r="H7" i="4" s="1"/>
  <c r="F4" i="4"/>
  <c r="F8" i="4" s="1"/>
  <c r="F23" i="4" s="1"/>
  <c r="F24" i="4" s="1"/>
  <c r="H56" i="5"/>
  <c r="H57" i="5"/>
  <c r="H58" i="5"/>
  <c r="D2" i="10" l="1"/>
  <c r="D3" i="10" s="1"/>
  <c r="D4" i="10" s="1"/>
  <c r="D8" i="10" s="1"/>
  <c r="G61" i="5"/>
  <c r="H60" i="5"/>
  <c r="G6" i="4" s="1"/>
  <c r="I58" i="5"/>
  <c r="I57" i="5"/>
  <c r="I56" i="5"/>
  <c r="G4" i="4"/>
  <c r="G8" i="4" s="1"/>
  <c r="G23" i="4" s="1"/>
  <c r="G24" i="4" s="1"/>
  <c r="J62" i="5"/>
  <c r="I7" i="4" s="1"/>
  <c r="K52" i="5"/>
  <c r="K53" i="5" s="1"/>
  <c r="H61" i="5" l="1"/>
  <c r="E2" i="10"/>
  <c r="E3" i="10" s="1"/>
  <c r="E4" i="10" s="1"/>
  <c r="E8" i="10" s="1"/>
  <c r="H4" i="4"/>
  <c r="H8" i="4" s="1"/>
  <c r="H23" i="4" s="1"/>
  <c r="H24" i="4" s="1"/>
  <c r="I60" i="5"/>
  <c r="H6" i="4" s="1"/>
  <c r="K62" i="5"/>
  <c r="J7" i="4" s="1"/>
  <c r="L52" i="5"/>
  <c r="L53" i="5" s="1"/>
  <c r="J57" i="5"/>
  <c r="J58" i="5"/>
  <c r="J56" i="5"/>
  <c r="F2" i="10" l="1"/>
  <c r="F3" i="10" s="1"/>
  <c r="F4" i="10" s="1"/>
  <c r="F8" i="10" s="1"/>
  <c r="I61" i="5"/>
  <c r="M52" i="5"/>
  <c r="M53" i="5" s="1"/>
  <c r="M62" i="5" s="1"/>
  <c r="L7" i="4" s="1"/>
  <c r="L62" i="5"/>
  <c r="K7" i="4" s="1"/>
  <c r="I4" i="4"/>
  <c r="I8" i="4" s="1"/>
  <c r="I23" i="4" s="1"/>
  <c r="I24" i="4" s="1"/>
  <c r="J61" i="5"/>
  <c r="K58" i="5"/>
  <c r="K56" i="5"/>
  <c r="K57" i="5"/>
  <c r="J60" i="5"/>
  <c r="I6" i="4" s="1"/>
  <c r="G2" i="10" l="1"/>
  <c r="G3" i="10" s="1"/>
  <c r="G4" i="10" s="1"/>
  <c r="G8" i="10" s="1"/>
  <c r="J4" i="4"/>
  <c r="J8" i="4" s="1"/>
  <c r="J23" i="4" s="1"/>
  <c r="J24" i="4" s="1"/>
  <c r="L57" i="5"/>
  <c r="L56" i="5"/>
  <c r="L58" i="5"/>
  <c r="K60" i="5"/>
  <c r="J6" i="4" s="1"/>
  <c r="M56" i="5"/>
  <c r="M58" i="5"/>
  <c r="M57" i="5"/>
  <c r="H2" i="10" l="1"/>
  <c r="H3" i="10" s="1"/>
  <c r="H4" i="10" s="1"/>
  <c r="H8" i="10" s="1"/>
  <c r="L60" i="5"/>
  <c r="K6" i="4" s="1"/>
  <c r="M60" i="5"/>
  <c r="L6" i="4" s="1"/>
  <c r="K61" i="5"/>
  <c r="K4" i="4"/>
  <c r="K8" i="4" s="1"/>
  <c r="K23" i="4" s="1"/>
  <c r="K24" i="4" s="1"/>
  <c r="L61" i="5"/>
  <c r="L4" i="4"/>
  <c r="L8" i="4" s="1"/>
  <c r="L23" i="4" s="1"/>
  <c r="L24" i="4" s="1"/>
  <c r="I2" i="10" l="1"/>
  <c r="I3" i="10" s="1"/>
  <c r="I4" i="10" s="1"/>
  <c r="I8" i="10" s="1"/>
  <c r="J2" i="10"/>
  <c r="M61" i="5"/>
  <c r="J3" i="10" l="1"/>
  <c r="J4" i="10" s="1"/>
  <c r="M40" i="10" s="1"/>
  <c r="M49" i="10"/>
  <c r="J8" i="10"/>
  <c r="K22" i="10" s="1"/>
  <c r="K17" i="10"/>
  <c r="K19" i="10" s="1"/>
  <c r="K25" i="10" l="1"/>
  <c r="L25" i="10"/>
  <c r="M10" i="10" s="1"/>
  <c r="L10" i="10"/>
  <c r="G6" i="10" l="1"/>
  <c r="G10" i="10" s="1"/>
  <c r="H6" i="10"/>
  <c r="H10" i="10" s="1"/>
  <c r="I6" i="10"/>
  <c r="I10" i="10" s="1"/>
  <c r="J6" i="10"/>
  <c r="J10" i="10" s="1"/>
  <c r="C6" i="10"/>
  <c r="C10" i="10" s="1"/>
  <c r="D6" i="10"/>
  <c r="D10" i="10" s="1"/>
  <c r="E6" i="10"/>
  <c r="E10" i="10" s="1"/>
  <c r="F6" i="10"/>
  <c r="F10" i="10" s="1"/>
  <c r="I5" i="10"/>
  <c r="I9" i="10" s="1"/>
  <c r="J5" i="10"/>
  <c r="J9" i="10" s="1"/>
  <c r="C5" i="10"/>
  <c r="C9" i="10" s="1"/>
  <c r="D5" i="10"/>
  <c r="D9" i="10" s="1"/>
  <c r="E5" i="10"/>
  <c r="E9" i="10" s="1"/>
  <c r="F5" i="10"/>
  <c r="F9" i="10" s="1"/>
  <c r="G5" i="10"/>
  <c r="G9" i="10" s="1"/>
  <c r="H5" i="10"/>
  <c r="H9" i="10" s="1"/>
  <c r="K37" i="10"/>
  <c r="K40" i="10"/>
  <c r="L37" i="10"/>
  <c r="L40" i="10"/>
  <c r="K28" i="10"/>
  <c r="K31" i="10" s="1"/>
  <c r="B2" i="7" s="1"/>
  <c r="K34" i="10"/>
  <c r="L28" i="10"/>
  <c r="L31" i="10" s="1"/>
  <c r="L34" i="10"/>
  <c r="M7" i="10" l="1"/>
  <c r="M4" i="10" s="1"/>
  <c r="M2" i="10" s="1"/>
  <c r="L7" i="10"/>
  <c r="L4" i="10" s="1"/>
  <c r="L2" i="10" s="1"/>
  <c r="F3" i="6"/>
  <c r="C3" i="6"/>
  <c r="D3" i="6"/>
  <c r="E3" i="6"/>
</calcChain>
</file>

<file path=xl/sharedStrings.xml><?xml version="1.0" encoding="utf-8"?>
<sst xmlns="http://schemas.openxmlformats.org/spreadsheetml/2006/main" count="510" uniqueCount="389">
  <si>
    <t>Total Revenue</t>
  </si>
  <si>
    <t>2022A</t>
  </si>
  <si>
    <t>2026E</t>
  </si>
  <si>
    <t>2027E</t>
  </si>
  <si>
    <t>2028E</t>
  </si>
  <si>
    <t>2029E</t>
  </si>
  <si>
    <t>2030E</t>
  </si>
  <si>
    <t>Category</t>
  </si>
  <si>
    <t>Item</t>
  </si>
  <si>
    <t>Year</t>
  </si>
  <si>
    <t>Adjusts transaction fees</t>
  </si>
  <si>
    <t>Take Rate Delta (%)</t>
  </si>
  <si>
    <t>Scenario Toggles</t>
  </si>
  <si>
    <t>Adjusts growth in scenarios</t>
  </si>
  <si>
    <t>Circulation Growth Delta (%)</t>
  </si>
  <si>
    <t>Adjusts rates in scenarios</t>
  </si>
  <si>
    <t>Interest Rate Delta (bps)</t>
  </si>
  <si>
    <t>Opex driver</t>
  </si>
  <si>
    <t>Expense Drivers</t>
  </si>
  <si>
    <t>Sales &amp; Marketing % of Revenue</t>
  </si>
  <si>
    <t>Payment processing &amp; network costs</t>
  </si>
  <si>
    <t>Paid to partners from float income</t>
  </si>
  <si>
    <t>Partner Payout Rate (on Reserve Income)</t>
  </si>
  <si>
    <t>Take Rate</t>
  </si>
  <si>
    <t>Transaction Assumptions</t>
  </si>
  <si>
    <t>Transaction Volume Growth (Base)</t>
  </si>
  <si>
    <t>Used for cash portion</t>
  </si>
  <si>
    <t>0.10%</t>
  </si>
  <si>
    <t>Cash Yield (Base)</t>
  </si>
  <si>
    <t>Reserve Yields</t>
  </si>
  <si>
    <t>SOFR Rate (Base)</t>
  </si>
  <si>
    <t>3M T-Bill Yield (Base)</t>
  </si>
  <si>
    <t>Avg Float % of Circulation</t>
  </si>
  <si>
    <t>USDC Metrics</t>
  </si>
  <si>
    <t>USDC Circulation Growth (Base)</t>
  </si>
  <si>
    <t>Last year in projection</t>
  </si>
  <si>
    <t>Forecast End Year</t>
  </si>
  <si>
    <t>Model Timeline</t>
  </si>
  <si>
    <t>For monthly builds</t>
  </si>
  <si>
    <t>Model Start Date</t>
  </si>
  <si>
    <t>First year in model</t>
  </si>
  <si>
    <t>Model Start Year</t>
  </si>
  <si>
    <t>Notes / Units</t>
  </si>
  <si>
    <t>Value</t>
  </si>
  <si>
    <t xml:space="preserve">YoY growth rate assumption: Historical growth: 2022 = 5.04%, 2023 = –44.69%, 2024 = 77.98%,
2025 (annualized) = 95.57%. 
Base case assumes normalized adoption rate between historical median (5%) 
and trimmed recovery (~37%). </t>
  </si>
  <si>
    <t>Portion of circulation invested in reserves - Based on 3-year historical average (2022–2024) of 100.5%.</t>
  </si>
  <si>
    <t>Used for Treasuries portion - Average of Circle provided quarterly rates</t>
  </si>
  <si>
    <t>Used for repo portion - Average of Circle provided quarterly rates</t>
  </si>
  <si>
    <t>YoY growth - Base set via weighted geometric mean of YoY factors: 2023 (w=0.20), 2024 (w=0.40), 2025 annualized (w=0.40). Result ≈ 11.24%; rounded to 12%. 2025 uses H1×2.</t>
  </si>
  <si>
    <t>% of transaction value captured as fee revenue (on/off-ramp fee take rate)</t>
  </si>
  <si>
    <t>Cost of Revenue % of Total Revenue</t>
  </si>
  <si>
    <t>R&amp;D % of Total Revenue</t>
  </si>
  <si>
    <t>G&amp;A % of Total Revenue</t>
  </si>
  <si>
    <t>Compensation Expense % of Total Revenue</t>
  </si>
  <si>
    <t>Compensation Expenses - Internal costs</t>
  </si>
  <si>
    <t>2025 6M Actual</t>
  </si>
  <si>
    <t>USDC Circulation (Base, in millions) BOY</t>
  </si>
  <si>
    <t>USDC Circulation (Base, in millions) EOY</t>
  </si>
  <si>
    <t>USDC Circulation (Base, in millions) Average</t>
  </si>
  <si>
    <t>Growth EOY %</t>
  </si>
  <si>
    <t>Rates</t>
  </si>
  <si>
    <t>Forecasted Weighted Yield Rate</t>
  </si>
  <si>
    <t>Short-term rates will gradually decline in H2 2025 (based on macro expectations for rate cuts) - within the 3.75 - 3.97% range</t>
  </si>
  <si>
    <t>Daily Weighted-Average % of USDC on Platform</t>
  </si>
  <si>
    <t>Revenue Sharing Rate (on off platform USDC)</t>
  </si>
  <si>
    <t>Circle Metrics</t>
  </si>
  <si>
    <t>Circle Platform % of Circulation</t>
  </si>
  <si>
    <t>Coinbase Metrics</t>
  </si>
  <si>
    <t>Coinbase Platform % of Circulation</t>
  </si>
  <si>
    <t>Outside Rate</t>
  </si>
  <si>
    <t>Outside Platforms % of Circulation</t>
  </si>
  <si>
    <t>Coinbase Retained %</t>
  </si>
  <si>
    <t>Other Platorms</t>
  </si>
  <si>
    <t>Other Platforms Retained %</t>
  </si>
  <si>
    <t>Circle % of Float</t>
  </si>
  <si>
    <t>Coinbase % of Float</t>
  </si>
  <si>
    <t>Outside % of Float</t>
  </si>
  <si>
    <t>Base</t>
  </si>
  <si>
    <t>Implied Float % of Circulation</t>
  </si>
  <si>
    <t>Outside Retained %</t>
  </si>
  <si>
    <t>Reserve Return Rate</t>
  </si>
  <si>
    <t>Base Gross Reserve Income (Circle Retains 100%)</t>
  </si>
  <si>
    <t>Circle Gross Reserve Income</t>
  </si>
  <si>
    <t>Coinbase Gross Reserve Income</t>
  </si>
  <si>
    <t>Coinbase Net Reserve Income</t>
  </si>
  <si>
    <t>Outside Gross Reserve Income</t>
  </si>
  <si>
    <t>Outside Net Reserve Income</t>
  </si>
  <si>
    <t>Total Reserve Income</t>
  </si>
  <si>
    <t>Implied Total Reserve Income</t>
  </si>
  <si>
    <t>Total Reserve Income Check</t>
  </si>
  <si>
    <t>Transaction &amp; Other Revenue</t>
  </si>
  <si>
    <t>Implied Total Revenue</t>
  </si>
  <si>
    <t>(in millions)</t>
  </si>
  <si>
    <t>Transaction Volume (in millions)</t>
  </si>
  <si>
    <t>Distribution &amp; Transaction Costs</t>
  </si>
  <si>
    <t>Other Costs</t>
  </si>
  <si>
    <t>Total Distribution, Transaction, and Other Costs</t>
  </si>
  <si>
    <t>Operating Expenses</t>
  </si>
  <si>
    <t>Compensation Expenses</t>
  </si>
  <si>
    <t>G &amp; A Expenses</t>
  </si>
  <si>
    <t>Depreciation &amp; Amoritization Expenses</t>
  </si>
  <si>
    <t>IT Infrastructure Costs</t>
  </si>
  <si>
    <t>Marketing Expenses</t>
  </si>
  <si>
    <t>Merger Termination Expenses</t>
  </si>
  <si>
    <t>Total Operating Expenses</t>
  </si>
  <si>
    <t>Implied Total Distribution, Transaction, and Other Costs</t>
  </si>
  <si>
    <t>Implied Total Operating Expenses</t>
  </si>
  <si>
    <t>Gain on sale of intangible assets</t>
  </si>
  <si>
    <t>Digital Assets (Gains) Losses and impairment</t>
  </si>
  <si>
    <t>D&amp;A % of Total Revenue</t>
  </si>
  <si>
    <t>IT &amp; Infrastructure % Total Revenue</t>
  </si>
  <si>
    <t>Cost of Revenue</t>
  </si>
  <si>
    <t>Total Costs of Revenue</t>
  </si>
  <si>
    <t>Gross Profit</t>
  </si>
  <si>
    <t>Gross Margin %</t>
  </si>
  <si>
    <t>Opex</t>
  </si>
  <si>
    <t>G&amp;A Expenses</t>
  </si>
  <si>
    <t>Depreciation &amp; Amortization</t>
  </si>
  <si>
    <t>Digital Assets (Gains) / Losses</t>
  </si>
  <si>
    <t>Gain on Sale of Intangible Assets</t>
  </si>
  <si>
    <t>Pre-Tax Income</t>
  </si>
  <si>
    <t>Income Tax Expense</t>
  </si>
  <si>
    <t>Taxes</t>
  </si>
  <si>
    <t>Net Income</t>
  </si>
  <si>
    <t>Operating Income (EBIT)</t>
  </si>
  <si>
    <t>EBIT</t>
  </si>
  <si>
    <t>EBIT Margin %</t>
  </si>
  <si>
    <t>Net Income Margin %</t>
  </si>
  <si>
    <t>NOPAT</t>
  </si>
  <si>
    <t>EBT</t>
  </si>
  <si>
    <t>True Interest Income</t>
  </si>
  <si>
    <t>Interest Expense</t>
  </si>
  <si>
    <t>Non-Operating</t>
  </si>
  <si>
    <t>Implied EBIT</t>
  </si>
  <si>
    <t>Effective Tax Rate</t>
  </si>
  <si>
    <t>Implied EBT</t>
  </si>
  <si>
    <t>Other Non-Operating Gains/(Losses)</t>
  </si>
  <si>
    <t>Total Other Non-Operating (Expense)/Income</t>
  </si>
  <si>
    <t>Implied Net Income</t>
  </si>
  <si>
    <t>Loss from Discontinued Operations</t>
  </si>
  <si>
    <t>2023A</t>
  </si>
  <si>
    <t>2024A</t>
  </si>
  <si>
    <t>2025E</t>
  </si>
  <si>
    <t>2031E</t>
  </si>
  <si>
    <t>2032E</t>
  </si>
  <si>
    <t>-</t>
  </si>
  <si>
    <t>Assets</t>
  </si>
  <si>
    <t>Current Assets</t>
  </si>
  <si>
    <t>Cash &amp; CE</t>
  </si>
  <si>
    <t>AR % of Total Revenue</t>
  </si>
  <si>
    <t>DSO</t>
  </si>
  <si>
    <t>Other Assets/Liabilities</t>
  </si>
  <si>
    <t>% of Total Revenue</t>
  </si>
  <si>
    <t>Deferred Revenue</t>
  </si>
  <si>
    <t>% of Transaction Revenue</t>
  </si>
  <si>
    <t>Cash &amp; Cash Equivalents (including cash and cash equivalents segregated for corporate-held stablecoins)</t>
  </si>
  <si>
    <t>Cash &amp; Cash Equivalents (segregated for the benefit of stablecoin holders)</t>
  </si>
  <si>
    <t>Available-for-sale debt securities, at fair value</t>
  </si>
  <si>
    <t>Stablecoins receivable, net</t>
  </si>
  <si>
    <t>Accounts receivable, net</t>
  </si>
  <si>
    <t>Prepaid expenses and other current assets</t>
  </si>
  <si>
    <t>Non-Current Assets</t>
  </si>
  <si>
    <t>Investments</t>
  </si>
  <si>
    <t>Fixed assets, net</t>
  </si>
  <si>
    <t>Digital assets</t>
  </si>
  <si>
    <t>Deferred tax assets, net</t>
  </si>
  <si>
    <t>Other non-current assets</t>
  </si>
  <si>
    <t>Liabilities, Redeemable Convertible Preferred Stock and Stockholders' Equity</t>
  </si>
  <si>
    <t>Current Liabilities</t>
  </si>
  <si>
    <t>Accounts payable and accrued expenses</t>
  </si>
  <si>
    <t>Obligations to return digital asset collateral</t>
  </si>
  <si>
    <t>Deposits from stablecoin holders</t>
  </si>
  <si>
    <t>Other current liabilities</t>
  </si>
  <si>
    <t>Non-Current Liabilities</t>
  </si>
  <si>
    <t>Convertible debt, net of debt discount</t>
  </si>
  <si>
    <t>Deferred tax liabilities, net</t>
  </si>
  <si>
    <t>Other non-current liabilities</t>
  </si>
  <si>
    <t>Stockholders' Equity</t>
  </si>
  <si>
    <t>Total stockholders' equity</t>
  </si>
  <si>
    <t>Goodwill</t>
  </si>
  <si>
    <t>Intangible Assets, net</t>
  </si>
  <si>
    <t>Redeemable convertible preferred stock</t>
  </si>
  <si>
    <t>Corporate Supply</t>
  </si>
  <si>
    <t>USDC for holders</t>
  </si>
  <si>
    <t>Prepaid Exp &amp; Other Current Exp</t>
  </si>
  <si>
    <t>% of Opex</t>
  </si>
  <si>
    <t>Total Assets</t>
  </si>
  <si>
    <t>Total Liabilities and Stockholders' Equity</t>
  </si>
  <si>
    <t>Other Assets/ Rounding Adjustment Plug</t>
  </si>
  <si>
    <t>Fixed Assets</t>
  </si>
  <si>
    <t>Fixed Assets 2025E</t>
  </si>
  <si>
    <t>Fixed Percentage assumed at 20%</t>
  </si>
  <si>
    <t>AP % of Opex</t>
  </si>
  <si>
    <t>AP</t>
  </si>
  <si>
    <t>AP % Total Costs</t>
  </si>
  <si>
    <t>Cash flows from operating activities</t>
  </si>
  <si>
    <t>Net income (loss)</t>
  </si>
  <si>
    <t>Adjustments to reconcile net income (loss) to net cash provided by (used in) operating activities:</t>
  </si>
  <si>
    <t>Depreciation and amortization expense</t>
  </si>
  <si>
    <t>Accretion of premium on available-for-sale debt securities</t>
  </si>
  <si>
    <t>Realized and unrealized (gains) losses on digital assets</t>
  </si>
  <si>
    <t>Change in fair value of convertible debt, warrant liability, and embedded derivatives</t>
  </si>
  <si>
    <t>Digital assets received for services</t>
  </si>
  <si>
    <t>Deferred taxes</t>
  </si>
  <si>
    <t>Realized and unrealized (gains) losses on available-for-sale debt securities and strategic investments</t>
  </si>
  <si>
    <t>Gain on sale of long-lived assets</t>
  </si>
  <si>
    <t>Shares issued for merger-termination</t>
  </si>
  <si>
    <t>Other non-cash items</t>
  </si>
  <si>
    <t>Changes in operating assets and liabilities:</t>
  </si>
  <si>
    <t>Accounts receivable</t>
  </si>
  <si>
    <t>Stock-based compensation</t>
  </si>
  <si>
    <t>Net cash provided by (used in) operating activities</t>
  </si>
  <si>
    <t>Cash flows from investing activities</t>
  </si>
  <si>
    <t>Proceeds from sale of discontinued business</t>
  </si>
  <si>
    <t>Purchase of available-for-sale debt securities</t>
  </si>
  <si>
    <t>Sales and maturities of available-for-sale debt securities</t>
  </si>
  <si>
    <t>Cash acquired from acquisition of equity method affiliate</t>
  </si>
  <si>
    <t>Sale and return of investments</t>
  </si>
  <si>
    <t>Purchase of investments</t>
  </si>
  <si>
    <t>Business combinations, net of cash acquired</t>
  </si>
  <si>
    <t>Proceeds from the sale of digital assets</t>
  </si>
  <si>
    <t>Capitalization of software development costs</t>
  </si>
  <si>
    <t>Purchase of long-lived assets</t>
  </si>
  <si>
    <t>Net cash provided by (used in) investing activities</t>
  </si>
  <si>
    <t>Cash flows from financing activities</t>
  </si>
  <si>
    <t>Net changes in deposits held for stablecoin holders</t>
  </si>
  <si>
    <t>Purchase of treasury stock</t>
  </si>
  <si>
    <t>Proceeds from issuance of preferred stock</t>
  </si>
  <si>
    <t>Capitalized transaction costs</t>
  </si>
  <si>
    <t>Proceeds from exercise of stock options</t>
  </si>
  <si>
    <t>Net cash provided by (used in) financing activities</t>
  </si>
  <si>
    <t>Effect of exchange rate changes on cash and cash equivalents, restricted and segregated cash</t>
  </si>
  <si>
    <t>Unrealized gains (losses) on available-for-sale debt securities classified as cash equivalents, net of tax</t>
  </si>
  <si>
    <t>Net increase (decrease) in cash and cash equivalents, restricted and segregated cash</t>
  </si>
  <si>
    <t>Cash and cash equivalents, restricted and segregated cash at the beginning of the period</t>
  </si>
  <si>
    <t>Cash and cash equivalents, restricted and segregated cash at the end of the period</t>
  </si>
  <si>
    <t>Cash and cash equivalents, restricted and segregated cash consisted of:</t>
  </si>
  <si>
    <t>Cash and cash equivalents</t>
  </si>
  <si>
    <t>Restricted cash</t>
  </si>
  <si>
    <t>Cash and cash equivalents segregated for corporate-held stablecoins</t>
  </si>
  <si>
    <t>Cash and cash equivalents segregated for the benefit of stablecoin holders</t>
  </si>
  <si>
    <t>Total cash and cash equivalents, restricted and segregated cash</t>
  </si>
  <si>
    <t>Supplemental disclosure of cash flow information</t>
  </si>
  <si>
    <t>Cash paid for income taxes</t>
  </si>
  <si>
    <t>Cash paid for interest</t>
  </si>
  <si>
    <t>Supplemental schedule of non-cash activities</t>
  </si>
  <si>
    <t xml:space="preserve">Obligations to return digital asset collateral </t>
  </si>
  <si>
    <t>Digital assets collateral received</t>
  </si>
  <si>
    <t>Net changes in the purchase and redemption of digital financial assets</t>
  </si>
  <si>
    <t>Proceeds from sale of intangible assets</t>
  </si>
  <si>
    <t>Stablecoins repaid</t>
  </si>
  <si>
    <t>Stablecoins receivable</t>
  </si>
  <si>
    <t>Non-cash consideration for asset acquisition</t>
  </si>
  <si>
    <t>Non-cash purchase of investments and digital assets</t>
  </si>
  <si>
    <t>Capitalized stock-based compensation expense related to internally developed software</t>
  </si>
  <si>
    <t>Pruchase of PPE included in AP and accrued expenses</t>
  </si>
  <si>
    <t>Unrealized gain (loss) on available-for-sale debt securities</t>
  </si>
  <si>
    <t>Unrealized gain (loss) on convertible notes --credit risk, net of tax</t>
  </si>
  <si>
    <t>Non-cash consideration for business combinations</t>
  </si>
  <si>
    <t>Right-of-use assets recognized on adoption of ASU 2016-02</t>
  </si>
  <si>
    <t>Repayment of loans payable</t>
  </si>
  <si>
    <t>Non-cash interest payments</t>
  </si>
  <si>
    <t>Provisions for warrants in common stock</t>
  </si>
  <si>
    <t>Foreign currency remeasurement</t>
  </si>
  <si>
    <t>Equity securities received for services</t>
  </si>
  <si>
    <t>Proceeds from issuance of common stock in connection with IPO, net of underwriting discounts and commissions and offering costs</t>
  </si>
  <si>
    <t>Payment of withholding taxes on settlement of RSUs</t>
  </si>
  <si>
    <t>Deferred offering costs not yet paid</t>
  </si>
  <si>
    <t>Conversion of redeemable convertible preferred stock to common stock in connection with IPO</t>
  </si>
  <si>
    <t>Total Cash &amp; CE</t>
  </si>
  <si>
    <t>Capex</t>
  </si>
  <si>
    <t>Beginning PP&amp;E</t>
  </si>
  <si>
    <t>Ending PP&amp;E</t>
  </si>
  <si>
    <t>Depreciation</t>
  </si>
  <si>
    <t>Stock Compensation</t>
  </si>
  <si>
    <t>% of Total Compensation Expense</t>
  </si>
  <si>
    <t>AFS Maturity Rate</t>
  </si>
  <si>
    <t>IPO Costs</t>
  </si>
  <si>
    <t>Underwriting &amp; related IPO fees</t>
  </si>
  <si>
    <t>Implied Total Cash</t>
  </si>
  <si>
    <t>Other cash &amp; equivalents</t>
  </si>
  <si>
    <t>Other/Reconciliation to Total Cash</t>
  </si>
  <si>
    <t>Implied Total Cash &amp; CE from CFS</t>
  </si>
  <si>
    <t>Drivers/Outputs</t>
  </si>
  <si>
    <t>Bear</t>
  </si>
  <si>
    <t>Bull</t>
  </si>
  <si>
    <t>Circulation Growth %</t>
  </si>
  <si>
    <t>Reserve Yield %</t>
  </si>
  <si>
    <t>Expense Growth %</t>
  </si>
  <si>
    <t>Flat/Stagnation</t>
  </si>
  <si>
    <t>Average historical ratio of AFS (available-for-sale)</t>
  </si>
  <si>
    <t>Adjusted EBITDA</t>
  </si>
  <si>
    <t>Adjusted Margin %</t>
  </si>
  <si>
    <t>Adjusted EBITDA Margin %</t>
  </si>
  <si>
    <t>UFCF</t>
  </si>
  <si>
    <t>Net Working Capital</t>
  </si>
  <si>
    <t>Change in NWC</t>
  </si>
  <si>
    <t>WACC Calculation</t>
  </si>
  <si>
    <t>Current Share Price</t>
  </si>
  <si>
    <t>Equity Value</t>
  </si>
  <si>
    <t>Shares Outstanding</t>
  </si>
  <si>
    <t>Debt</t>
  </si>
  <si>
    <t>Total Interest Bearing Debt</t>
  </si>
  <si>
    <t>Cost of Equity</t>
  </si>
  <si>
    <t>Risk Free Rate</t>
  </si>
  <si>
    <t>Equity Risk Premium</t>
  </si>
  <si>
    <t>Notes</t>
  </si>
  <si>
    <t>8/18/2025  close</t>
  </si>
  <si>
    <t>Aug 2025 10-year treasury yield</t>
  </si>
  <si>
    <t>Beta</t>
  </si>
  <si>
    <t>Peer Group Beta: Coinbase = 2.6, PayPal = 1.4, Block = 2.3</t>
  </si>
  <si>
    <t>U.S. Standard ERP = 5.5-6.0%</t>
  </si>
  <si>
    <t>Equity Beta</t>
  </si>
  <si>
    <t>Cost of Debt</t>
  </si>
  <si>
    <t>Equity Weight</t>
  </si>
  <si>
    <t>Equity</t>
  </si>
  <si>
    <t>Total Capital</t>
  </si>
  <si>
    <t>Debt Weight</t>
  </si>
  <si>
    <t>WACC</t>
  </si>
  <si>
    <t>Pre-tax</t>
  </si>
  <si>
    <t>After-Tax Cost of Debt</t>
  </si>
  <si>
    <t>Peer bonds (e.g., Coinbase) are currently yielding around 7–8% — similar risk profile to Circle given reserve-based model, conversion risk, and regulatory exposure.</t>
  </si>
  <si>
    <t>Capital Structure Weights (in millions)</t>
  </si>
  <si>
    <t>PV (UFCF)</t>
  </si>
  <si>
    <t>Terminal Growth Rate</t>
  </si>
  <si>
    <t>Perpetuity Growth Rate</t>
  </si>
  <si>
    <t>Believe in growth of stablecoins over GDP - Added an inflation adjustment</t>
  </si>
  <si>
    <t>Exit Multiple</t>
  </si>
  <si>
    <t>Comparable Exit Multiple Assumption</t>
  </si>
  <si>
    <t>– Fintech &amp; exchange comps (Coinbase, PayPal, Robinhood, etc.) usually trade in the 6×–12× forward EBITDA range depending on cycle and profitability.</t>
  </si>
  <si>
    <t>– Given Circle is USDC-driven, likely lower end than PayPal but maybe higher than COIN (which is very volatile). Something like 7×–9× could be reasonable.</t>
  </si>
  <si>
    <t>Total Operating Current Liabilities</t>
  </si>
  <si>
    <t>Total Operating Current Assets</t>
  </si>
  <si>
    <t>Based on FY2024 effective tax rate per Circle disclosure; 2025 rate excluded due to IPO-related discrete items. 35% historical rate -&gt; phased down to avoid understating profitability</t>
  </si>
  <si>
    <t>Compensation Expense</t>
  </si>
  <si>
    <t>Headcount</t>
  </si>
  <si>
    <t>Avg Comp</t>
  </si>
  <si>
    <t>% Total Revenue</t>
  </si>
  <si>
    <t>Capex Schedule</t>
  </si>
  <si>
    <t>Implied Cost Per Employee</t>
  </si>
  <si>
    <t>Hiring Rate</t>
  </si>
  <si>
    <t>Driver for Headcount Growth</t>
  </si>
  <si>
    <t xml:space="preserve">2025E = 8% tapered down to 5% by 2032E. </t>
  </si>
  <si>
    <t>Convertible Debt</t>
  </si>
  <si>
    <t>Net Debt</t>
  </si>
  <si>
    <t>Implied Share Price</t>
  </si>
  <si>
    <t>PayPal</t>
  </si>
  <si>
    <t>Block</t>
  </si>
  <si>
    <t>Coinbase</t>
  </si>
  <si>
    <t>Adyen</t>
  </si>
  <si>
    <t>Wise</t>
  </si>
  <si>
    <t>Robinhood</t>
  </si>
  <si>
    <t>CME Group</t>
  </si>
  <si>
    <t>Company</t>
  </si>
  <si>
    <t>EV ($B)</t>
  </si>
  <si>
    <t>EV/Revenue</t>
  </si>
  <si>
    <t>EV/EBITDA</t>
  </si>
  <si>
    <t>EV/UFCF</t>
  </si>
  <si>
    <t>EV/UFCF (Forward)</t>
  </si>
  <si>
    <t>EV/UFCF (LTM)</t>
  </si>
  <si>
    <t>Median</t>
  </si>
  <si>
    <t>Mean</t>
  </si>
  <si>
    <t>Equity Value Market</t>
  </si>
  <si>
    <t>Enterprise Value Market</t>
  </si>
  <si>
    <t>Implied EV/Revenue</t>
  </si>
  <si>
    <t>Implied EV/EBITDA</t>
  </si>
  <si>
    <t>Implied EV/UFCF</t>
  </si>
  <si>
    <t>Enterprise Value (in millions)</t>
  </si>
  <si>
    <t>Equity Value (in millions)</t>
  </si>
  <si>
    <t>PV Terminal Value (in millions)</t>
  </si>
  <si>
    <t>Sum of PV UFCF (in millions)</t>
  </si>
  <si>
    <t>Terminal Value (Perpetuity + Inflation) (in millions)</t>
  </si>
  <si>
    <t>Terminal Value (Exit Multiple Method) (in millions)</t>
  </si>
  <si>
    <t>Market Share Price</t>
  </si>
  <si>
    <t>Implied UFCF Peer Median</t>
  </si>
  <si>
    <t>Implied UFCF Upper Peer Range</t>
  </si>
  <si>
    <t>Multiple of Difference between forecasted UFCF and Implied Market UFCF</t>
  </si>
  <si>
    <t>Difference from EV Market vs EV Exit Multiple</t>
  </si>
  <si>
    <t>Difference from EV Market vs EV Perp</t>
  </si>
  <si>
    <t>Implied Market UFCF Perpetuity Method</t>
  </si>
  <si>
    <t>Implied Market UFCF Exit Multiple Method</t>
  </si>
  <si>
    <t>PV (Implied Market UFCF Perpetuity Method)</t>
  </si>
  <si>
    <t>PV (Implied Market UFCF Exit Multiple Method)</t>
  </si>
  <si>
    <t>Sum of Implied Market PV UFCF Perp (in millions)</t>
  </si>
  <si>
    <t>Sum of Implied Market PV UFCF Exit Multiple (in millions)</t>
  </si>
  <si>
    <t>Implied Terminal Value (Perp) (in millions)</t>
  </si>
  <si>
    <t>Implied Terminal Value (Exit Multiple Method) (in millions)</t>
  </si>
  <si>
    <t>Implied PV Terminal Value (Perp) (in millions)</t>
  </si>
  <si>
    <t>Implied PV Terminal Value (Exit Multiple Method) (in millions)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</si>
</sst>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0.000%"/>
    <numFmt numFmtId="165" formatCode="_(&quot;$&quot;* #,##0_);_(&quot;$&quot;* \(#,##0\);_(&quot;$&quot;* &quot;-&quot;??_);_(@_)"/>
    <numFmt numFmtId="166" formatCode="0.0"/>
    <numFmt numFmtId="167" formatCode="_(&quot;$&quot;* #,##0.0000_);_(&quot;$&quot;* \(#,##0.0000\);_(&quot;$&quot;* &quot;-&quot;_);_(@_)"/>
    <numFmt numFmtId="168" formatCode="0.00&quot;x&quot;"/>
  </numFmts>
  <fonts count="1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70C0"/>
      <name val="Aptos Narrow"/>
      <family val="2"/>
      <scheme val="minor"/>
    </font>
    <font>
      <sz val="12"/>
      <color rgb="FF00B050"/>
      <name val="Aptos Narrow"/>
      <family val="2"/>
      <scheme val="minor"/>
    </font>
    <font>
      <i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i/>
      <sz val="12"/>
      <color rgb="FF0070C0"/>
      <name val="Aptos Narrow"/>
      <scheme val="minor"/>
    </font>
    <font>
      <sz val="12"/>
      <color rgb="FF0070C0"/>
      <name val="Aptos Narrow"/>
      <scheme val="minor"/>
    </font>
    <font>
      <i/>
      <sz val="12"/>
      <color rgb="FF00B050"/>
      <name val="Aptos Narrow"/>
      <scheme val="minor"/>
    </font>
    <font>
      <sz val="12"/>
      <color rgb="FF000000"/>
      <name val="Aptos Narrow"/>
      <scheme val="minor"/>
    </font>
    <font>
      <b/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8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42" fontId="0" fillId="0" borderId="0" xfId="0" applyNumberFormat="1"/>
    <xf numFmtId="44" fontId="0" fillId="0" borderId="0" xfId="0" applyNumberFormat="1"/>
    <xf numFmtId="0" fontId="4" fillId="0" borderId="0" xfId="0" applyFont="1" applyAlignment="1">
      <alignment horizontal="right"/>
    </xf>
    <xf numFmtId="10" fontId="0" fillId="0" borderId="0" xfId="0" applyNumberFormat="1"/>
    <xf numFmtId="42" fontId="5" fillId="0" borderId="0" xfId="0" applyNumberFormat="1" applyFont="1"/>
    <xf numFmtId="42" fontId="4" fillId="0" borderId="0" xfId="0" applyNumberFormat="1" applyFont="1"/>
    <xf numFmtId="10" fontId="4" fillId="0" borderId="0" xfId="0" applyNumberFormat="1" applyFont="1"/>
    <xf numFmtId="42" fontId="6" fillId="0" borderId="0" xfId="0" applyNumberFormat="1" applyFont="1"/>
    <xf numFmtId="42" fontId="7" fillId="0" borderId="0" xfId="0" applyNumberFormat="1" applyFont="1"/>
    <xf numFmtId="10" fontId="7" fillId="0" borderId="0" xfId="0" applyNumberFormat="1" applyFont="1"/>
    <xf numFmtId="164" fontId="7" fillId="0" borderId="0" xfId="0" applyNumberFormat="1" applyFont="1"/>
    <xf numFmtId="10" fontId="0" fillId="0" borderId="0" xfId="2" applyNumberFormat="1" applyFont="1" applyAlignment="1">
      <alignment horizontal="center"/>
    </xf>
    <xf numFmtId="0" fontId="3" fillId="0" borderId="0" xfId="0" applyFont="1" applyAlignment="1">
      <alignment horizontal="center"/>
    </xf>
    <xf numFmtId="10" fontId="6" fillId="0" borderId="0" xfId="0" applyNumberFormat="1" applyFont="1"/>
    <xf numFmtId="0" fontId="0" fillId="0" borderId="2" xfId="0" applyBorder="1"/>
    <xf numFmtId="42" fontId="6" fillId="0" borderId="2" xfId="0" applyNumberFormat="1" applyFont="1" applyBorder="1"/>
    <xf numFmtId="10" fontId="4" fillId="0" borderId="2" xfId="0" applyNumberFormat="1" applyFont="1" applyBorder="1"/>
    <xf numFmtId="42" fontId="0" fillId="0" borderId="2" xfId="0" applyNumberFormat="1" applyBorder="1"/>
    <xf numFmtId="10" fontId="7" fillId="0" borderId="2" xfId="0" applyNumberFormat="1" applyFont="1" applyBorder="1"/>
    <xf numFmtId="10" fontId="6" fillId="0" borderId="2" xfId="0" applyNumberFormat="1" applyFont="1" applyBorder="1"/>
    <xf numFmtId="10" fontId="0" fillId="0" borderId="2" xfId="0" applyNumberFormat="1" applyBorder="1"/>
    <xf numFmtId="10" fontId="0" fillId="0" borderId="0" xfId="0" applyNumberFormat="1" applyAlignment="1">
      <alignment horizontal="center" wrapText="1"/>
    </xf>
    <xf numFmtId="0" fontId="5" fillId="0" borderId="0" xfId="0" applyFont="1" applyAlignment="1">
      <alignment horizontal="left"/>
    </xf>
    <xf numFmtId="1" fontId="0" fillId="0" borderId="0" xfId="0" applyNumberFormat="1"/>
    <xf numFmtId="164" fontId="0" fillId="0" borderId="0" xfId="0" applyNumberFormat="1"/>
    <xf numFmtId="0" fontId="4" fillId="0" borderId="0" xfId="0" applyFont="1"/>
    <xf numFmtId="1" fontId="0" fillId="0" borderId="2" xfId="0" applyNumberFormat="1" applyBorder="1"/>
    <xf numFmtId="42" fontId="7" fillId="0" borderId="2" xfId="0" applyNumberFormat="1" applyFont="1" applyBorder="1"/>
    <xf numFmtId="164" fontId="0" fillId="0" borderId="2" xfId="0" applyNumberFormat="1" applyBorder="1"/>
    <xf numFmtId="44" fontId="6" fillId="0" borderId="0" xfId="0" applyNumberFormat="1" applyFont="1"/>
    <xf numFmtId="44" fontId="7" fillId="0" borderId="0" xfId="0" applyNumberFormat="1" applyFont="1"/>
    <xf numFmtId="0" fontId="4" fillId="0" borderId="0" xfId="0" applyFont="1" applyAlignment="1">
      <alignment horizontal="left"/>
    </xf>
    <xf numFmtId="0" fontId="5" fillId="0" borderId="0" xfId="0" applyFont="1"/>
    <xf numFmtId="0" fontId="8" fillId="0" borderId="0" xfId="0" applyFont="1"/>
    <xf numFmtId="0" fontId="9" fillId="0" borderId="0" xfId="0" applyFont="1"/>
    <xf numFmtId="0" fontId="9" fillId="0" borderId="2" xfId="0" applyFont="1" applyBorder="1"/>
    <xf numFmtId="0" fontId="3" fillId="0" borderId="0" xfId="0" applyFont="1" applyAlignment="1">
      <alignment wrapText="1"/>
    </xf>
    <xf numFmtId="0" fontId="0" fillId="0" borderId="0" xfId="0" applyAlignment="1">
      <alignment horizontal="center" wrapText="1"/>
    </xf>
    <xf numFmtId="44" fontId="0" fillId="0" borderId="0" xfId="1" applyFont="1"/>
    <xf numFmtId="42" fontId="10" fillId="0" borderId="0" xfId="0" applyNumberFormat="1" applyFont="1"/>
    <xf numFmtId="42" fontId="11" fillId="0" borderId="0" xfId="0" applyNumberFormat="1" applyFont="1"/>
    <xf numFmtId="10" fontId="0" fillId="0" borderId="0" xfId="2" applyNumberFormat="1" applyFont="1"/>
    <xf numFmtId="42" fontId="12" fillId="0" borderId="0" xfId="0" applyNumberFormat="1" applyFont="1"/>
    <xf numFmtId="0" fontId="13" fillId="0" borderId="0" xfId="0" applyFont="1"/>
    <xf numFmtId="42" fontId="9" fillId="0" borderId="0" xfId="0" applyNumberFormat="1" applyFont="1"/>
    <xf numFmtId="42" fontId="13" fillId="0" borderId="0" xfId="0" applyNumberFormat="1" applyFont="1"/>
    <xf numFmtId="0" fontId="0" fillId="0" borderId="0" xfId="1" applyNumberFormat="1" applyFont="1"/>
    <xf numFmtId="165" fontId="0" fillId="0" borderId="0" xfId="1" applyNumberFormat="1" applyFont="1"/>
    <xf numFmtId="16" fontId="0" fillId="0" borderId="0" xfId="0" applyNumberFormat="1"/>
    <xf numFmtId="0" fontId="0" fillId="0" borderId="0" xfId="2" applyNumberFormat="1" applyFont="1"/>
    <xf numFmtId="166" fontId="0" fillId="0" borderId="0" xfId="2" applyNumberFormat="1" applyFont="1"/>
    <xf numFmtId="165" fontId="0" fillId="0" borderId="0" xfId="0" applyNumberFormat="1"/>
    <xf numFmtId="3" fontId="6" fillId="0" borderId="0" xfId="1" applyNumberFormat="1" applyFont="1"/>
    <xf numFmtId="165" fontId="6" fillId="0" borderId="0" xfId="1" applyNumberFormat="1" applyFont="1"/>
    <xf numFmtId="10" fontId="6" fillId="0" borderId="0" xfId="2" applyNumberFormat="1" applyFont="1"/>
    <xf numFmtId="166" fontId="6" fillId="0" borderId="0" xfId="0" applyNumberFormat="1" applyFont="1"/>
    <xf numFmtId="10" fontId="6" fillId="0" borderId="0" xfId="2" applyNumberFormat="1" applyFont="1" applyAlignment="1">
      <alignment horizontal="right"/>
    </xf>
    <xf numFmtId="166" fontId="0" fillId="0" borderId="0" xfId="0" applyNumberFormat="1" applyAlignment="1">
      <alignment horizontal="center"/>
    </xf>
    <xf numFmtId="0" fontId="14" fillId="0" borderId="0" xfId="0" applyFont="1"/>
    <xf numFmtId="167" fontId="0" fillId="0" borderId="0" xfId="0" applyNumberFormat="1"/>
    <xf numFmtId="2" fontId="0" fillId="0" borderId="0" xfId="0" applyNumberFormat="1"/>
    <xf numFmtId="168" fontId="0" fillId="0" borderId="0" xfId="0" applyNumberFormat="1"/>
    <xf numFmtId="168" fontId="0" fillId="0" borderId="0" xfId="0" applyNumberFormat="1" applyAlignment="1">
      <alignment horizontal="right"/>
    </xf>
    <xf numFmtId="44" fontId="3" fillId="0" borderId="0" xfId="0" applyNumberFormat="1" applyFont="1"/>
    <xf numFmtId="9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9" Type="http://schemas.openxmlformats.org/officeDocument/2006/relationships/image" Target="../media/image1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635000</xdr:colOff>
      <xdr:row>42</xdr:row>
      <xdr:rowOff>38100</xdr:rowOff>
    </xdr:from>
    <xdr:to>
      <xdr:col>16</xdr:col>
      <xdr:colOff>482600</xdr:colOff>
      <xdr:row>66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2ED3E9-173B-134F-9A1E-F58975FC3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0" y="8572500"/>
          <a:ext cx="7277100" cy="4851400"/>
        </a:xfrm>
        <a:prstGeom prst="rect">
          <a:avLst/>
        </a:prstGeom>
      </xdr:spPr>
    </xdr:pic>
    <xdr:clientData/>
  </xdr:twoCellAnchor>
  <xdr:twoCellAnchor editAs="oneCell">
    <xdr:from>
      <xdr:col>3</xdr:col>
      <xdr:colOff>6337300</xdr:colOff>
      <xdr:row>21</xdr:row>
      <xdr:rowOff>139700</xdr:rowOff>
    </xdr:from>
    <xdr:to>
      <xdr:col>12</xdr:col>
      <xdr:colOff>419100</xdr:colOff>
      <xdr:row>41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ADCC23-BCC5-BD49-91DC-F9AC0FD6A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60200" y="4406900"/>
          <a:ext cx="7099300" cy="400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187739</xdr:colOff>
      <xdr:row>18</xdr:row>
      <xdr:rowOff>110435</xdr:rowOff>
    </xdr:from>
    <xdr:to>
      <xdr:col>23</xdr:col>
      <xdr:colOff>505791</xdr:colOff>
      <xdr:row>28</xdr:row>
      <xdr:rowOff>181457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BC6168-837C-9AF1-084D-6B6B4BB3D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62087" y="3688522"/>
          <a:ext cx="7772400" cy="20588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739913</xdr:colOff>
      <xdr:row>41</xdr:row>
      <xdr:rowOff>132522</xdr:rowOff>
    </xdr:from>
    <xdr:to>
      <xdr:col>23</xdr:col>
      <xdr:colOff>229704</xdr:colOff>
      <xdr:row>61</xdr:row>
      <xdr:rowOff>151020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1D63F9-5729-FA21-F0F1-874DA33C6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37478" y="8282609"/>
          <a:ext cx="7772400" cy="39941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269726</xdr:colOff>
      <xdr:row>9</xdr:row>
      <xdr:rowOff>97835</xdr:rowOff>
    </xdr:from>
    <xdr:to>
      <xdr:col>21</xdr:col>
      <xdr:colOff>628071</xdr:colOff>
      <xdr:row>32</xdr:row>
      <xdr:rowOff>33191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FC0D94-825E-DA43-DC3D-3C988E54F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46780" y="1322478"/>
          <a:ext cx="7808255" cy="4629820"/>
        </a:xfrm>
        <a:prstGeom prst="rect">
          <a:avLst/>
        </a:prstGeom>
      </xdr:spPr>
    </xdr:pic>
    <xdr:clientData/>
  </xdr:twoCellAnchor>
  <xdr:twoCellAnchor editAs="oneCell">
    <xdr:from>
      <xdr:col>12</xdr:col>
      <xdr:colOff>225039</xdr:colOff>
      <xdr:row>39</xdr:row>
      <xdr:rowOff>143934</xdr:rowOff>
    </xdr:from>
    <xdr:to>
      <xdr:col>19</xdr:col>
      <xdr:colOff>94480</xdr:colOff>
      <xdr:row>89</xdr:row>
      <xdr:rowOff>46759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508A77-22C8-AF79-3816-C059A1CE6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28639" y="5630334"/>
          <a:ext cx="5736841" cy="10062826"/>
        </a:xfrm>
        <a:prstGeom prst="rect">
          <a:avLst/>
        </a:prstGeom>
      </xdr:spPr>
    </xdr:pic>
    <xdr:clientData/>
  </xdr:twoCellAnchor>
  <xdr:twoCellAnchor editAs="oneCell">
    <xdr:from>
      <xdr:col>22</xdr:col>
      <xdr:colOff>127000</xdr:colOff>
      <xdr:row>14</xdr:row>
      <xdr:rowOff>38100</xdr:rowOff>
    </xdr:from>
    <xdr:to>
      <xdr:col>31</xdr:col>
      <xdr:colOff>469900</xdr:colOff>
      <xdr:row>24</xdr:row>
      <xdr:rowOff>195654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2B57E3A-4428-5560-E753-71CB65CC1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333200" y="2070100"/>
          <a:ext cx="7772400" cy="2189554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254000</xdr:colOff>
      <xdr:row>46</xdr:row>
      <xdr:rowOff>101600</xdr:rowOff>
    </xdr:from>
    <xdr:to>
      <xdr:col>11</xdr:col>
      <xdr:colOff>393700</xdr:colOff>
      <xdr:row>56</xdr:row>
      <xdr:rowOff>163667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3018DAA-3C81-A9FA-90A7-35C137BCD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47000" y="8229600"/>
          <a:ext cx="7772400" cy="2094067"/>
        </a:xfrm>
        <a:prstGeom prst="rect">
          <a:avLst/>
        </a:prstGeom>
      </xdr:spPr>
    </xdr:pic>
    <xdr:clientData/>
  </xdr:twoCellAnchor>
  <xdr:twoCellAnchor editAs="oneCell">
    <xdr:from>
      <xdr:col>0</xdr:col>
      <xdr:colOff>1066800</xdr:colOff>
      <xdr:row>75</xdr:row>
      <xdr:rowOff>127000</xdr:rowOff>
    </xdr:from>
    <xdr:to>
      <xdr:col>3</xdr:col>
      <xdr:colOff>520700</xdr:colOff>
      <xdr:row>82</xdr:row>
      <xdr:rowOff>100120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5798B47-93FB-4DA1-B2A3-DFB3AA1A9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800" y="14147800"/>
          <a:ext cx="7772400" cy="1395520"/>
        </a:xfrm>
        <a:prstGeom prst="rect">
          <a:avLst/>
        </a:prstGeom>
      </xdr:spPr>
    </xdr:pic>
    <xdr:clientData/>
  </xdr:twoCellAnchor>
  <xdr:twoCellAnchor editAs="oneCell">
    <xdr:from>
      <xdr:col>4</xdr:col>
      <xdr:colOff>165100</xdr:colOff>
      <xdr:row>60</xdr:row>
      <xdr:rowOff>25400</xdr:rowOff>
    </xdr:from>
    <xdr:to>
      <xdr:col>10</xdr:col>
      <xdr:colOff>558800</xdr:colOff>
      <xdr:row>98</xdr:row>
      <xdr:rowOff>177800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76755EE-1449-3099-1E0C-11D89CD3C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12300" y="10998200"/>
          <a:ext cx="5346700" cy="7874000"/>
        </a:xfrm>
        <a:prstGeom prst="rect">
          <a:avLst/>
        </a:prstGeom>
      </xdr:spPr>
    </xdr:pic>
    <xdr:clientData/>
  </xdr:twoCellAnchor>
  <xdr:twoCellAnchor editAs="oneCell">
    <xdr:from>
      <xdr:col>0</xdr:col>
      <xdr:colOff>1104900</xdr:colOff>
      <xdr:row>59</xdr:row>
      <xdr:rowOff>127000</xdr:rowOff>
    </xdr:from>
    <xdr:to>
      <xdr:col>0</xdr:col>
      <xdr:colOff>6324600</xdr:colOff>
      <xdr:row>66</xdr:row>
      <xdr:rowOff>63500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02E11DB-B09C-DDD7-CD8F-D3EA8AEAE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4900" y="10896600"/>
          <a:ext cx="5219700" cy="135890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1524000</xdr:colOff>
      <xdr:row>69</xdr:row>
      <xdr:rowOff>0</xdr:rowOff>
    </xdr:from>
    <xdr:to>
      <xdr:col>1</xdr:col>
      <xdr:colOff>165100</xdr:colOff>
      <xdr:row>73</xdr:row>
      <xdr:rowOff>177800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8A1B8EA-6F02-6FB7-BFEE-C1507FCB2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24000" y="12801600"/>
          <a:ext cx="5308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1549400</xdr:colOff>
      <xdr:row>84</xdr:row>
      <xdr:rowOff>114300</xdr:rowOff>
    </xdr:from>
    <xdr:to>
      <xdr:col>0</xdr:col>
      <xdr:colOff>6197600</xdr:colOff>
      <xdr:row>125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EDCE4FF-D4DC-945B-C911-66BAD692F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49400" y="15963900"/>
          <a:ext cx="4648200" cy="82169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380999</xdr:colOff>
      <xdr:row>5</xdr:row>
      <xdr:rowOff>25400</xdr:rowOff>
    </xdr:from>
    <xdr:to>
      <xdr:col>24</xdr:col>
      <xdr:colOff>804058</xdr:colOff>
      <xdr:row>14</xdr:row>
      <xdr:rowOff>165100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DB12C2-5509-B89D-D28B-6E1A054BD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21199" y="1054100"/>
          <a:ext cx="9503559" cy="19685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406400</xdr:colOff>
      <xdr:row>1</xdr:row>
      <xdr:rowOff>139700</xdr:rowOff>
    </xdr:from>
    <xdr:to>
      <xdr:col>18</xdr:col>
      <xdr:colOff>749300</xdr:colOff>
      <xdr:row>22</xdr:row>
      <xdr:rowOff>108358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9E9E25-F279-DEE6-BDCD-8729BB658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32800" y="342900"/>
          <a:ext cx="7772400" cy="423585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774700</xdr:colOff>
      <xdr:row>3</xdr:row>
      <xdr:rowOff>25400</xdr:rowOff>
    </xdr:from>
    <xdr:to>
      <xdr:col>25</xdr:col>
      <xdr:colOff>292100</xdr:colOff>
      <xdr:row>18</xdr:row>
      <xdr:rowOff>151410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95EAF0-D989-1E81-9D6F-C31EA547A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57200" y="635000"/>
          <a:ext cx="7772400" cy="3174010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20</xdr:row>
      <xdr:rowOff>190500</xdr:rowOff>
    </xdr:from>
    <xdr:to>
      <xdr:col>25</xdr:col>
      <xdr:colOff>647700</xdr:colOff>
      <xdr:row>44</xdr:row>
      <xdr:rowOff>64604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7C0424-4298-5FCD-DF3A-18EFB4197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12800" y="4254500"/>
          <a:ext cx="7772400" cy="475090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207134</xdr:colOff>
      <xdr:row>0</xdr:row>
      <xdr:rowOff>39411</xdr:rowOff>
    </xdr:from>
    <xdr:to>
      <xdr:col>38</xdr:col>
      <xdr:colOff>554267</xdr:colOff>
      <xdr:row>17</xdr:row>
      <xdr:rowOff>131215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498B90-1AAE-BA62-D83F-6DD79D709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28734" y="39411"/>
          <a:ext cx="7814733" cy="3546204"/>
        </a:xfrm>
        <a:prstGeom prst="rect">
          <a:avLst/>
        </a:prstGeom>
      </xdr:spPr>
    </xdr:pic>
    <xdr:clientData/>
  </xdr:twoCellAnchor>
  <xdr:twoCellAnchor editAs="oneCell">
    <xdr:from>
      <xdr:col>29</xdr:col>
      <xdr:colOff>165400</xdr:colOff>
      <xdr:row>23</xdr:row>
      <xdr:rowOff>71667</xdr:rowOff>
    </xdr:from>
    <xdr:to>
      <xdr:col>38</xdr:col>
      <xdr:colOff>512533</xdr:colOff>
      <xdr:row>47</xdr:row>
      <xdr:rowOff>474152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FF3EFD-A266-00D0-79DA-858E5CD8E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287000" y="4338867"/>
          <a:ext cx="7814733" cy="527928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bp/Documents/circle_analysis/circle_analysis_windows/Circle_ReserveYield_Historical_Template.xlsx" TargetMode="External"/><Relationship Id="rId1" Type="http://schemas.openxmlformats.org/officeDocument/2006/relationships/externalLinkPath" Target="circle_analysis_windows/Circle_ReserveYield_Historical_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ircle Transparency Inputs"/>
      <sheetName val="Data"/>
      <sheetName val="Dashboard"/>
      <sheetName val="Calculations"/>
      <sheetName val="Metrics"/>
      <sheetName val="Citations"/>
    </sheetNames>
    <sheetDataSet>
      <sheetData sheetId="0"/>
      <sheetData sheetId="1"/>
      <sheetData sheetId="2"/>
      <sheetData sheetId="3">
        <row r="2">
          <cell r="J2">
            <v>0.99926934371067844</v>
          </cell>
        </row>
        <row r="3">
          <cell r="J3">
            <v>1.0208429130178538</v>
          </cell>
        </row>
        <row r="4">
          <cell r="J4">
            <v>0.99501889437160373</v>
          </cell>
        </row>
        <row r="5">
          <cell r="J5">
            <v>0.98424447753386823</v>
          </cell>
        </row>
      </sheetData>
      <sheetData sheetId="4">
        <row r="9">
          <cell r="D9">
            <v>3.2999999999999995E-2</v>
          </cell>
        </row>
        <row r="10">
          <cell r="D10">
            <v>2.9500000000000002E-2</v>
          </cell>
        </row>
        <row r="11">
          <cell r="D11">
            <v>2.75E-2</v>
          </cell>
        </row>
        <row r="12">
          <cell r="D12">
            <v>2.5500000000000002E-2</v>
          </cell>
        </row>
        <row r="13">
          <cell r="D13">
            <v>2.5000000000000001E-2</v>
          </cell>
        </row>
        <row r="14">
          <cell r="D14">
            <v>2.5000000000000001E-2</v>
          </cell>
        </row>
        <row r="15">
          <cell r="D15">
            <v>2.6000000000000002E-2</v>
          </cell>
        </row>
        <row r="20">
          <cell r="B20">
            <v>333080</v>
          </cell>
        </row>
        <row r="21">
          <cell r="B21">
            <v>211808</v>
          </cell>
        </row>
        <row r="23">
          <cell r="B23">
            <v>263239</v>
          </cell>
        </row>
        <row r="24">
          <cell r="B24">
            <v>173316</v>
          </cell>
        </row>
        <row r="26">
          <cell r="B26">
            <v>346632</v>
          </cell>
        </row>
        <row r="49">
          <cell r="D49">
            <v>0.40069062705620867</v>
          </cell>
        </row>
        <row r="50">
          <cell r="D50">
            <v>0.50171737910437064</v>
          </cell>
        </row>
        <row r="51">
          <cell r="D51">
            <v>0.60692747455187257</v>
          </cell>
        </row>
        <row r="52">
          <cell r="D52">
            <v>0.61018751450490072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40E9E-6BC4-0440-959D-A1F42B64DB78}">
  <dimension ref="A1:D51"/>
  <sheetViews>
    <sheetView workbookViewId="0">
      <pane ySplit="1" topLeftCell="A2" activePane="bottomLeft" state="frozen"/>
      <selection pane="bottomLeft" activeCell="D16" sqref="D16"/>
    </sheetView>
  </sheetViews>
  <sheetFormatPr baseColWidth="10" defaultRowHeight="16" x14ac:dyDescent="0.2"/>
  <cols>
    <col min="1" max="1" width="27.33203125" bestFit="1" customWidth="1"/>
    <col min="2" max="2" width="41.5" bestFit="1" customWidth="1"/>
    <col min="3" max="3" width="10.1640625" style="2" bestFit="1" customWidth="1"/>
    <col min="4" max="4" width="84.1640625" bestFit="1" customWidth="1"/>
  </cols>
  <sheetData>
    <row r="1" spans="1:4" x14ac:dyDescent="0.2">
      <c r="A1" s="1" t="s">
        <v>7</v>
      </c>
      <c r="B1" s="1" t="s">
        <v>8</v>
      </c>
      <c r="C1" s="1" t="s">
        <v>43</v>
      </c>
      <c r="D1" s="1" t="s">
        <v>42</v>
      </c>
    </row>
    <row r="2" spans="1:4" x14ac:dyDescent="0.2">
      <c r="A2" t="s">
        <v>37</v>
      </c>
      <c r="B2" t="s">
        <v>41</v>
      </c>
      <c r="C2" s="2">
        <v>2022</v>
      </c>
      <c r="D2" t="s">
        <v>40</v>
      </c>
    </row>
    <row r="3" spans="1:4" x14ac:dyDescent="0.2">
      <c r="A3" t="s">
        <v>37</v>
      </c>
      <c r="B3" t="s">
        <v>39</v>
      </c>
      <c r="C3" s="5">
        <v>44592</v>
      </c>
      <c r="D3" t="s">
        <v>38</v>
      </c>
    </row>
    <row r="4" spans="1:4" x14ac:dyDescent="0.2">
      <c r="A4" t="s">
        <v>37</v>
      </c>
      <c r="B4" t="s">
        <v>36</v>
      </c>
      <c r="C4" s="2">
        <v>2032</v>
      </c>
      <c r="D4" t="s">
        <v>35</v>
      </c>
    </row>
    <row r="5" spans="1:4" x14ac:dyDescent="0.2">
      <c r="A5" t="s">
        <v>33</v>
      </c>
      <c r="B5" t="s">
        <v>34</v>
      </c>
      <c r="C5" s="4">
        <v>0.08</v>
      </c>
      <c r="D5" t="s">
        <v>44</v>
      </c>
    </row>
    <row r="6" spans="1:4" x14ac:dyDescent="0.2">
      <c r="A6" t="s">
        <v>33</v>
      </c>
      <c r="B6" t="s">
        <v>32</v>
      </c>
      <c r="C6" s="4">
        <v>1</v>
      </c>
      <c r="D6" t="s">
        <v>45</v>
      </c>
    </row>
    <row r="7" spans="1:4" x14ac:dyDescent="0.2">
      <c r="A7" t="s">
        <v>33</v>
      </c>
      <c r="B7" t="s">
        <v>63</v>
      </c>
      <c r="C7" s="4" t="s">
        <v>145</v>
      </c>
    </row>
    <row r="8" spans="1:4" x14ac:dyDescent="0.2">
      <c r="A8" t="s">
        <v>33</v>
      </c>
      <c r="B8" t="s">
        <v>64</v>
      </c>
      <c r="C8" s="4" t="s">
        <v>145</v>
      </c>
    </row>
    <row r="9" spans="1:4" x14ac:dyDescent="0.2">
      <c r="A9" t="s">
        <v>65</v>
      </c>
      <c r="B9" t="s">
        <v>66</v>
      </c>
      <c r="C9" s="4">
        <v>0.08</v>
      </c>
    </row>
    <row r="10" spans="1:4" x14ac:dyDescent="0.2">
      <c r="A10" t="s">
        <v>67</v>
      </c>
      <c r="B10" t="s">
        <v>68</v>
      </c>
      <c r="C10" s="4">
        <v>0.24</v>
      </c>
    </row>
    <row r="11" spans="1:4" x14ac:dyDescent="0.2">
      <c r="A11" t="s">
        <v>69</v>
      </c>
      <c r="B11" t="s">
        <v>70</v>
      </c>
      <c r="C11" s="4">
        <v>0.7</v>
      </c>
    </row>
    <row r="12" spans="1:4" x14ac:dyDescent="0.2">
      <c r="A12" t="s">
        <v>67</v>
      </c>
      <c r="B12" t="s">
        <v>71</v>
      </c>
      <c r="C12" s="32">
        <v>1</v>
      </c>
    </row>
    <row r="13" spans="1:4" x14ac:dyDescent="0.2">
      <c r="A13" t="s">
        <v>72</v>
      </c>
      <c r="B13" t="s">
        <v>73</v>
      </c>
      <c r="C13" s="4">
        <v>1</v>
      </c>
    </row>
    <row r="14" spans="1:4" x14ac:dyDescent="0.2">
      <c r="A14" t="s">
        <v>29</v>
      </c>
      <c r="B14" t="s">
        <v>31</v>
      </c>
      <c r="C14" s="4">
        <v>4.9700000000000001E-2</v>
      </c>
      <c r="D14" t="s">
        <v>46</v>
      </c>
    </row>
    <row r="15" spans="1:4" x14ac:dyDescent="0.2">
      <c r="A15" t="s">
        <v>29</v>
      </c>
      <c r="B15" t="s">
        <v>30</v>
      </c>
      <c r="C15" s="4">
        <v>5.1499999999999997E-2</v>
      </c>
      <c r="D15" t="s">
        <v>47</v>
      </c>
    </row>
    <row r="16" spans="1:4" x14ac:dyDescent="0.2">
      <c r="A16" t="s">
        <v>29</v>
      </c>
      <c r="B16" t="s">
        <v>28</v>
      </c>
      <c r="C16" s="4" t="s">
        <v>27</v>
      </c>
      <c r="D16" t="s">
        <v>26</v>
      </c>
    </row>
    <row r="17" spans="1:4" x14ac:dyDescent="0.2">
      <c r="A17" t="s">
        <v>60</v>
      </c>
      <c r="B17" t="s">
        <v>61</v>
      </c>
      <c r="C17" s="22">
        <v>4.1000000000000002E-2</v>
      </c>
      <c r="D17" t="s">
        <v>62</v>
      </c>
    </row>
    <row r="18" spans="1:4" x14ac:dyDescent="0.2">
      <c r="A18" t="s">
        <v>60</v>
      </c>
      <c r="B18" t="s">
        <v>134</v>
      </c>
      <c r="C18" s="22">
        <v>0.21</v>
      </c>
      <c r="D18" t="s">
        <v>333</v>
      </c>
    </row>
    <row r="19" spans="1:4" x14ac:dyDescent="0.2">
      <c r="A19" t="s">
        <v>24</v>
      </c>
      <c r="B19" t="s">
        <v>25</v>
      </c>
      <c r="C19" s="4">
        <v>0.12</v>
      </c>
      <c r="D19" t="s">
        <v>48</v>
      </c>
    </row>
    <row r="20" spans="1:4" x14ac:dyDescent="0.2">
      <c r="A20" t="s">
        <v>24</v>
      </c>
      <c r="B20" t="s">
        <v>23</v>
      </c>
      <c r="C20" s="4">
        <v>2.0000000000000001E-4</v>
      </c>
      <c r="D20" t="s">
        <v>49</v>
      </c>
    </row>
    <row r="21" spans="1:4" x14ac:dyDescent="0.2">
      <c r="A21" t="s">
        <v>18</v>
      </c>
      <c r="B21" t="s">
        <v>22</v>
      </c>
      <c r="C21" s="4">
        <v>0.5</v>
      </c>
      <c r="D21" t="s">
        <v>21</v>
      </c>
    </row>
    <row r="22" spans="1:4" x14ac:dyDescent="0.2">
      <c r="A22" t="s">
        <v>18</v>
      </c>
      <c r="B22" t="s">
        <v>50</v>
      </c>
      <c r="C22" s="4">
        <v>0.61019000000000001</v>
      </c>
      <c r="D22" t="s">
        <v>20</v>
      </c>
    </row>
    <row r="23" spans="1:4" x14ac:dyDescent="0.2">
      <c r="A23" t="s">
        <v>18</v>
      </c>
      <c r="B23" t="s">
        <v>53</v>
      </c>
      <c r="C23" s="4">
        <v>0.19064999999999999</v>
      </c>
      <c r="D23" t="s">
        <v>54</v>
      </c>
    </row>
    <row r="24" spans="1:4" x14ac:dyDescent="0.2">
      <c r="A24" t="s">
        <v>18</v>
      </c>
      <c r="B24" t="s">
        <v>19</v>
      </c>
      <c r="C24" s="4">
        <v>0.01</v>
      </c>
      <c r="D24" t="s">
        <v>17</v>
      </c>
    </row>
    <row r="25" spans="1:4" x14ac:dyDescent="0.2">
      <c r="A25" t="s">
        <v>18</v>
      </c>
      <c r="B25" t="s">
        <v>51</v>
      </c>
      <c r="C25" s="4">
        <v>1.4999999999999999E-2</v>
      </c>
      <c r="D25" t="s">
        <v>17</v>
      </c>
    </row>
    <row r="26" spans="1:4" x14ac:dyDescent="0.2">
      <c r="A26" t="s">
        <v>18</v>
      </c>
      <c r="B26" t="s">
        <v>52</v>
      </c>
      <c r="C26" s="4">
        <v>0.06</v>
      </c>
      <c r="D26" t="s">
        <v>17</v>
      </c>
    </row>
    <row r="27" spans="1:4" x14ac:dyDescent="0.2">
      <c r="A27" t="s">
        <v>18</v>
      </c>
      <c r="B27" t="s">
        <v>109</v>
      </c>
      <c r="C27" s="4">
        <v>2.2599999999999999E-2</v>
      </c>
      <c r="D27" t="s">
        <v>17</v>
      </c>
    </row>
    <row r="28" spans="1:4" x14ac:dyDescent="0.2">
      <c r="A28" t="s">
        <v>18</v>
      </c>
      <c r="B28" t="s">
        <v>110</v>
      </c>
      <c r="C28" s="4">
        <v>1.329E-2</v>
      </c>
      <c r="D28" t="s">
        <v>17</v>
      </c>
    </row>
    <row r="29" spans="1:4" x14ac:dyDescent="0.2">
      <c r="A29" t="s">
        <v>12</v>
      </c>
      <c r="B29" t="s">
        <v>16</v>
      </c>
      <c r="C29" s="2">
        <v>0</v>
      </c>
      <c r="D29" t="s">
        <v>15</v>
      </c>
    </row>
    <row r="30" spans="1:4" x14ac:dyDescent="0.2">
      <c r="A30" t="s">
        <v>12</v>
      </c>
      <c r="B30" t="s">
        <v>14</v>
      </c>
      <c r="C30" s="2">
        <v>0</v>
      </c>
      <c r="D30" t="s">
        <v>13</v>
      </c>
    </row>
    <row r="31" spans="1:4" x14ac:dyDescent="0.2">
      <c r="A31" t="s">
        <v>12</v>
      </c>
      <c r="B31" t="s">
        <v>11</v>
      </c>
      <c r="C31" s="2">
        <v>0</v>
      </c>
      <c r="D31" t="s">
        <v>10</v>
      </c>
    </row>
    <row r="32" spans="1:4" x14ac:dyDescent="0.2">
      <c r="C32" s="22"/>
    </row>
    <row r="33" spans="1:4" x14ac:dyDescent="0.2">
      <c r="A33" t="s">
        <v>148</v>
      </c>
      <c r="B33" t="s">
        <v>182</v>
      </c>
      <c r="C33" s="22">
        <v>0.15</v>
      </c>
    </row>
    <row r="34" spans="1:4" x14ac:dyDescent="0.2">
      <c r="A34" t="s">
        <v>148</v>
      </c>
      <c r="B34" t="s">
        <v>183</v>
      </c>
      <c r="C34" s="22">
        <v>0.08</v>
      </c>
    </row>
    <row r="35" spans="1:4" x14ac:dyDescent="0.2">
      <c r="A35" t="s">
        <v>150</v>
      </c>
      <c r="B35" t="s">
        <v>149</v>
      </c>
      <c r="C35" s="4">
        <f>AVERAGE(('Balance Sheet'!D10/'P&amp;L'!E2),('Balance Sheet'!C10/'P&amp;L'!D2))</f>
        <v>7.2574484204971351E-3</v>
      </c>
    </row>
    <row r="36" spans="1:4" x14ac:dyDescent="0.2">
      <c r="A36" t="s">
        <v>193</v>
      </c>
      <c r="B36" t="s">
        <v>194</v>
      </c>
      <c r="C36" s="4">
        <f>AVERAGE(('Balance Sheet'!B29/('Expense Build'!C6+'Expense Build'!C18)),('Balance Sheet'!C29/('Expense Build'!D6+'Expense Build'!D18)),('Balance Sheet'!D29/('Expense Build'!E6+'Expense Build'!E18)))</f>
        <v>0.19983327129431797</v>
      </c>
    </row>
    <row r="37" spans="1:4" x14ac:dyDescent="0.2">
      <c r="A37" t="s">
        <v>193</v>
      </c>
      <c r="B37" t="s">
        <v>192</v>
      </c>
      <c r="C37" s="22">
        <f>AVERAGE(('Balance Sheet'!D29/'P&amp;L'!E22),('Balance Sheet'!C29/'P&amp;L'!D22),('Balance Sheet'!B29/'P&amp;L'!C22))</f>
        <v>0.49872961774020924</v>
      </c>
    </row>
    <row r="38" spans="1:4" x14ac:dyDescent="0.2">
      <c r="A38" t="s">
        <v>184</v>
      </c>
      <c r="B38" t="s">
        <v>185</v>
      </c>
      <c r="C38" s="4">
        <f>AVERAGE(('Balance Sheet'!B12/'P&amp;L'!C22),('Balance Sheet'!C12/'P&amp;L'!D22),('Balance Sheet'!D12/'P&amp;L'!E22))</f>
        <v>0.33599929871103557</v>
      </c>
    </row>
    <row r="39" spans="1:4" x14ac:dyDescent="0.2">
      <c r="A39" t="s">
        <v>189</v>
      </c>
      <c r="B39" t="s">
        <v>185</v>
      </c>
      <c r="C39" s="4">
        <f>AVERAGE(('Balance Sheet'!D17/'P&amp;L'!E22),('Balance Sheet'!C17/'P&amp;L'!D22),('Balance Sheet'!B17/'P&amp;L'!C22))</f>
        <v>2.5692379978330331E-2</v>
      </c>
    </row>
    <row r="40" spans="1:4" x14ac:dyDescent="0.2">
      <c r="A40" t="s">
        <v>190</v>
      </c>
      <c r="B40" t="s">
        <v>191</v>
      </c>
      <c r="C40" s="4">
        <v>0.2</v>
      </c>
    </row>
    <row r="41" spans="1:4" x14ac:dyDescent="0.2">
      <c r="A41" t="s">
        <v>151</v>
      </c>
      <c r="B41" t="s">
        <v>152</v>
      </c>
    </row>
    <row r="42" spans="1:4" x14ac:dyDescent="0.2">
      <c r="A42" t="s">
        <v>153</v>
      </c>
      <c r="B42" t="s">
        <v>154</v>
      </c>
      <c r="C42" s="4">
        <f>AVERAGE(('Balance Sheet'!B28/'P&amp;L'!C2),('Balance Sheet'!C28/'P&amp;L'!D2),('Balance Sheet'!D28/'P&amp;L'!E2))</f>
        <v>5.5300039236047746E-3</v>
      </c>
    </row>
    <row r="44" spans="1:4" x14ac:dyDescent="0.2">
      <c r="A44" t="s">
        <v>274</v>
      </c>
      <c r="B44" t="s">
        <v>275</v>
      </c>
      <c r="C44" s="4">
        <f>AVERAGE(('Cash Flow Statement'!B17/'Expense Build'!B9),('Cash Flow Statement'!C17/'Expense Build'!C9),('Cash Flow Statement'!D17/'Expense Build'!D9))</f>
        <v>0.29345753739591246</v>
      </c>
    </row>
    <row r="45" spans="1:4" x14ac:dyDescent="0.2">
      <c r="A45" t="s">
        <v>276</v>
      </c>
      <c r="B45" t="s">
        <v>290</v>
      </c>
      <c r="C45" s="22">
        <v>0.95</v>
      </c>
    </row>
    <row r="46" spans="1:4" x14ac:dyDescent="0.2">
      <c r="A46" t="s">
        <v>277</v>
      </c>
      <c r="B46" t="s">
        <v>278</v>
      </c>
      <c r="C46" s="4">
        <v>5.8999999999999997E-2</v>
      </c>
    </row>
    <row r="48" spans="1:4" x14ac:dyDescent="0.2">
      <c r="A48" t="s">
        <v>325</v>
      </c>
      <c r="B48" t="s">
        <v>324</v>
      </c>
      <c r="C48" s="22">
        <v>2.5000000000000001E-2</v>
      </c>
      <c r="D48" t="s">
        <v>326</v>
      </c>
    </row>
    <row r="49" spans="1:4" x14ac:dyDescent="0.2">
      <c r="A49" t="s">
        <v>327</v>
      </c>
      <c r="B49" t="s">
        <v>328</v>
      </c>
      <c r="C49" s="68">
        <v>8</v>
      </c>
      <c r="D49" s="43" t="s">
        <v>329</v>
      </c>
    </row>
    <row r="50" spans="1:4" x14ac:dyDescent="0.2">
      <c r="D50" s="43" t="s">
        <v>330</v>
      </c>
    </row>
    <row r="51" spans="1:4" x14ac:dyDescent="0.2">
      <c r="A51" t="s">
        <v>340</v>
      </c>
      <c r="B51" t="s">
        <v>341</v>
      </c>
      <c r="C51" s="22">
        <v>0.08</v>
      </c>
      <c r="D51" s="43" t="s">
        <v>342</v>
      </c>
    </row>
  </sheetData>
  <pageMargins left="0.7" right="0.7" top="0.75" bottom="0.75" header="0.3" footer="0.3"/>
  <ignoredErrors>
    <ignoredError sqref="C16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6C3B6-0D23-3448-AF5F-9DE0A307469E}">
  <dimension ref="A1:M29"/>
  <sheetViews>
    <sheetView zoomScale="115" workbookViewId="0">
      <pane ySplit="1" topLeftCell="A2" activePane="bottomLeft" state="frozen"/>
      <selection pane="bottomLeft" activeCell="B6" sqref="B6"/>
    </sheetView>
  </sheetViews>
  <sheetFormatPr baseColWidth="10" defaultRowHeight="16" x14ac:dyDescent="0.2"/>
  <cols>
    <col min="1" max="1" width="46.5" bestFit="1" customWidth="1"/>
    <col min="2" max="2" width="13.5" bestFit="1" customWidth="1"/>
    <col min="3" max="4" width="12.1640625" bestFit="1" customWidth="1"/>
    <col min="5" max="5" width="13.5" bestFit="1" customWidth="1"/>
    <col min="6" max="6" width="11.5" bestFit="1" customWidth="1"/>
    <col min="7" max="7" width="12.5" bestFit="1" customWidth="1"/>
  </cols>
  <sheetData>
    <row r="1" spans="1:13" x14ac:dyDescent="0.2">
      <c r="A1" s="36" t="s">
        <v>92</v>
      </c>
      <c r="B1" t="str">
        <f>'Drivers &amp; Assumptons'!C2 &amp; "A"</f>
        <v>2022A</v>
      </c>
      <c r="C1" t="str">
        <f>LEFT(B1,4) + 1 &amp; IF(LEFT(B1,4) + 1 &lt;= 2024, "A", "E")</f>
        <v>2023A</v>
      </c>
      <c r="D1" t="str">
        <f t="shared" ref="D1:M1" si="0">LEFT(C1,4) + 1 &amp; IF(LEFT(C1,4) + 1 &lt;= 2024, "A", "E")</f>
        <v>2024A</v>
      </c>
      <c r="E1" s="25" t="s">
        <v>55</v>
      </c>
      <c r="F1" t="str">
        <f>LEFT(D1,4) + 1 &amp; IF(LEFT(D1,4) + 1 &lt;= 2024, "A", "E")</f>
        <v>2025E</v>
      </c>
      <c r="G1" t="str">
        <f t="shared" si="0"/>
        <v>2026E</v>
      </c>
      <c r="H1" t="str">
        <f t="shared" si="0"/>
        <v>2027E</v>
      </c>
      <c r="I1" t="str">
        <f t="shared" si="0"/>
        <v>2028E</v>
      </c>
      <c r="J1" t="str">
        <f t="shared" si="0"/>
        <v>2029E</v>
      </c>
      <c r="K1" t="str">
        <f t="shared" si="0"/>
        <v>2030E</v>
      </c>
      <c r="L1" t="str">
        <f t="shared" si="0"/>
        <v>2031E</v>
      </c>
      <c r="M1" t="str">
        <f t="shared" si="0"/>
        <v>2032E</v>
      </c>
    </row>
    <row r="2" spans="1:13" x14ac:dyDescent="0.2">
      <c r="A2" t="s">
        <v>56</v>
      </c>
      <c r="B2" s="18">
        <v>42416</v>
      </c>
      <c r="C2" s="18">
        <v>44554</v>
      </c>
      <c r="D2" s="18">
        <v>24412</v>
      </c>
      <c r="E2" s="26">
        <v>43857</v>
      </c>
      <c r="F2" s="11">
        <f>E2</f>
        <v>43857</v>
      </c>
      <c r="G2" s="11">
        <f>F3</f>
        <v>63739.123308373179</v>
      </c>
      <c r="H2" s="11">
        <f t="shared" ref="H2:M2" si="1">G3</f>
        <v>68838.253173043035</v>
      </c>
      <c r="I2" s="11">
        <f t="shared" si="1"/>
        <v>74345.313426886481</v>
      </c>
      <c r="J2" s="11">
        <f t="shared" si="1"/>
        <v>80292.93850103741</v>
      </c>
      <c r="K2" s="11">
        <f t="shared" si="1"/>
        <v>86716.37358112041</v>
      </c>
      <c r="L2" s="11">
        <f t="shared" si="1"/>
        <v>93653.683467610055</v>
      </c>
      <c r="M2" s="11">
        <f t="shared" si="1"/>
        <v>101145.97814501886</v>
      </c>
    </row>
    <row r="3" spans="1:13" x14ac:dyDescent="0.2">
      <c r="A3" s="7" t="s">
        <v>57</v>
      </c>
      <c r="B3" s="18">
        <v>44554</v>
      </c>
      <c r="C3" s="18">
        <v>24412</v>
      </c>
      <c r="D3" s="18">
        <v>43857</v>
      </c>
      <c r="E3" s="26">
        <v>61333</v>
      </c>
      <c r="F3" s="19">
        <f>E3*(1+'Drivers &amp; Assumptons'!C5)^0.5</f>
        <v>63739.123308373179</v>
      </c>
      <c r="G3" s="19">
        <f>G2*(1+'Drivers &amp; Assumptons'!$C$5)</f>
        <v>68838.253173043035</v>
      </c>
      <c r="H3" s="19">
        <f>H2*(1+'Drivers &amp; Assumptons'!$C$5)</f>
        <v>74345.313426886481</v>
      </c>
      <c r="I3" s="19">
        <f>I2*(1+'Drivers &amp; Assumptons'!$C$5)</f>
        <v>80292.93850103741</v>
      </c>
      <c r="J3" s="19">
        <f>J2*(1+'Drivers &amp; Assumptons'!$C$5)</f>
        <v>86716.37358112041</v>
      </c>
      <c r="K3" s="19">
        <f>K2*(1+'Drivers &amp; Assumptons'!$C$5)</f>
        <v>93653.683467610055</v>
      </c>
      <c r="L3" s="19">
        <f>L2*(1+'Drivers &amp; Assumptons'!$C$5)</f>
        <v>101145.97814501886</v>
      </c>
      <c r="M3" s="19">
        <f>M2*(1+'Drivers &amp; Assumptons'!$C$5)</f>
        <v>109237.65639662038</v>
      </c>
    </row>
    <row r="4" spans="1:13" x14ac:dyDescent="0.2">
      <c r="A4" s="13" t="s">
        <v>59</v>
      </c>
      <c r="B4" s="16"/>
      <c r="C4" s="17">
        <f>(C3-B3)/B3</f>
        <v>-0.45208062126857296</v>
      </c>
      <c r="D4" s="17">
        <f t="shared" ref="D4:M4" si="2">(D3-C3)/C3</f>
        <v>0.79653449123381947</v>
      </c>
      <c r="E4" s="27">
        <f t="shared" si="2"/>
        <v>0.39847686800282739</v>
      </c>
      <c r="F4" s="17">
        <f t="shared" si="2"/>
        <v>3.9230484541326507E-2</v>
      </c>
      <c r="G4" s="17">
        <f t="shared" si="2"/>
        <v>8.0000000000000029E-2</v>
      </c>
      <c r="H4" s="17">
        <f t="shared" si="2"/>
        <v>8.0000000000000057E-2</v>
      </c>
      <c r="I4" s="17">
        <f t="shared" si="2"/>
        <v>8.0000000000000127E-2</v>
      </c>
      <c r="J4" s="17">
        <f t="shared" si="2"/>
        <v>8.0000000000000085E-2</v>
      </c>
      <c r="K4" s="17">
        <f t="shared" si="2"/>
        <v>8.0000000000000154E-2</v>
      </c>
      <c r="L4" s="17">
        <f t="shared" si="2"/>
        <v>0.08</v>
      </c>
      <c r="M4" s="17">
        <f t="shared" si="2"/>
        <v>8.000000000000014E-2</v>
      </c>
    </row>
    <row r="5" spans="1:13" x14ac:dyDescent="0.2">
      <c r="A5" s="7" t="s">
        <v>58</v>
      </c>
      <c r="B5" s="18">
        <v>49861</v>
      </c>
      <c r="C5" s="18">
        <v>30467</v>
      </c>
      <c r="D5" s="18">
        <v>33342</v>
      </c>
      <c r="E5" s="26">
        <v>57574</v>
      </c>
      <c r="F5" s="11">
        <f>((E5*6)+((((E3+F3)/2)*6))) / 12</f>
        <v>60055.030827093295</v>
      </c>
      <c r="G5" s="11">
        <f t="shared" ref="G5:M5" si="3">(G2+G3)/2</f>
        <v>66288.688240708114</v>
      </c>
      <c r="H5" s="11">
        <f t="shared" si="3"/>
        <v>71591.783299964765</v>
      </c>
      <c r="I5" s="11">
        <f t="shared" si="3"/>
        <v>77319.125963961938</v>
      </c>
      <c r="J5" s="11">
        <f t="shared" si="3"/>
        <v>83504.65604107891</v>
      </c>
      <c r="K5" s="11">
        <f t="shared" si="3"/>
        <v>90185.028524365232</v>
      </c>
      <c r="L5" s="11">
        <f t="shared" si="3"/>
        <v>97399.83080631445</v>
      </c>
      <c r="M5" s="11">
        <f t="shared" si="3"/>
        <v>105191.81727081962</v>
      </c>
    </row>
    <row r="6" spans="1:13" x14ac:dyDescent="0.2">
      <c r="A6" s="7" t="s">
        <v>32</v>
      </c>
      <c r="B6" s="20">
        <f>[1]Calculations!$J$2</f>
        <v>0.99926934371067844</v>
      </c>
      <c r="C6" s="20">
        <f>[1]Calculations!$J$3</f>
        <v>1.0208429130178538</v>
      </c>
      <c r="D6" s="20">
        <f>[1]Calculations!$J$4</f>
        <v>0.99501889437160373</v>
      </c>
      <c r="E6" s="29">
        <f>[1]Calculations!$J$5</f>
        <v>0.98424447753386823</v>
      </c>
      <c r="F6" s="20">
        <f>((E6*E5)+(F5*'Drivers &amp; Assumptons'!C6))/('Revenue Build'!E5+'Revenue Build'!F5)</f>
        <v>0.99228839646057743</v>
      </c>
      <c r="G6" s="14">
        <f>AVERAGE($B$6:$F$6)</f>
        <v>0.9983328050189163</v>
      </c>
      <c r="H6" s="14">
        <f t="shared" ref="H6:M6" si="4">AVERAGE($B$6:$F$6)</f>
        <v>0.9983328050189163</v>
      </c>
      <c r="I6" s="14">
        <f t="shared" si="4"/>
        <v>0.9983328050189163</v>
      </c>
      <c r="J6" s="14">
        <f t="shared" si="4"/>
        <v>0.9983328050189163</v>
      </c>
      <c r="K6" s="14">
        <f t="shared" si="4"/>
        <v>0.9983328050189163</v>
      </c>
      <c r="L6" s="14">
        <f t="shared" si="4"/>
        <v>0.9983328050189163</v>
      </c>
      <c r="M6" s="14">
        <f t="shared" si="4"/>
        <v>0.9983328050189163</v>
      </c>
    </row>
    <row r="7" spans="1:13" x14ac:dyDescent="0.2">
      <c r="A7" s="7" t="s">
        <v>78</v>
      </c>
      <c r="B7" s="14">
        <f>B21/(B5*B8)</f>
        <v>0.98391528449088472</v>
      </c>
      <c r="C7" s="14">
        <f>C21/(C5*C8)</f>
        <v>0.99906211743574658</v>
      </c>
      <c r="D7" s="14">
        <f>D21/(D5*D8)</f>
        <v>0.99639133825205439</v>
      </c>
      <c r="E7" s="31">
        <f>E21/(E5*E8)</f>
        <v>0.49302388478926495</v>
      </c>
      <c r="F7" s="14">
        <f t="shared" ref="F7:M7" si="5">F21/(F5*F8)</f>
        <v>0.97361981012181642</v>
      </c>
      <c r="G7" s="14">
        <f t="shared" si="5"/>
        <v>0.9983328050189163</v>
      </c>
      <c r="H7" s="14">
        <f t="shared" si="5"/>
        <v>0.9983328050189163</v>
      </c>
      <c r="I7" s="14">
        <f t="shared" si="5"/>
        <v>0.99833280501891641</v>
      </c>
      <c r="J7" s="14">
        <f t="shared" si="5"/>
        <v>0.9983328050189163</v>
      </c>
      <c r="K7" s="14">
        <f t="shared" si="5"/>
        <v>0.9983328050189163</v>
      </c>
      <c r="L7" s="14">
        <f t="shared" si="5"/>
        <v>0.9983328050189163</v>
      </c>
      <c r="M7" s="14">
        <f t="shared" si="5"/>
        <v>0.99833280501891641</v>
      </c>
    </row>
    <row r="8" spans="1:13" x14ac:dyDescent="0.2">
      <c r="A8" s="7" t="s">
        <v>80</v>
      </c>
      <c r="B8" s="24">
        <v>1.4999999999999999E-2</v>
      </c>
      <c r="C8" s="24">
        <v>4.7E-2</v>
      </c>
      <c r="D8" s="24">
        <v>0.05</v>
      </c>
      <c r="E8" s="30">
        <v>4.2000000000000003E-2</v>
      </c>
      <c r="F8" s="20">
        <f>((E8*6)+('Drivers &amp; Assumptons'!C17*6))/12</f>
        <v>4.1500000000000002E-2</v>
      </c>
      <c r="G8" s="20">
        <f>[1]Metrics!$D$9</f>
        <v>3.2999999999999995E-2</v>
      </c>
      <c r="H8" s="20">
        <f>[1]Metrics!$D$10</f>
        <v>2.9500000000000002E-2</v>
      </c>
      <c r="I8" s="20">
        <f>[1]Metrics!$D$11</f>
        <v>2.75E-2</v>
      </c>
      <c r="J8" s="20">
        <f>[1]Metrics!$D$12</f>
        <v>2.5500000000000002E-2</v>
      </c>
      <c r="K8" s="20">
        <f>[1]Metrics!$D$13</f>
        <v>2.5000000000000001E-2</v>
      </c>
      <c r="L8" s="20">
        <f>[1]Metrics!$D$14</f>
        <v>2.5000000000000001E-2</v>
      </c>
      <c r="M8" s="20">
        <f>[1]Metrics!$D$15</f>
        <v>2.6000000000000002E-2</v>
      </c>
    </row>
    <row r="9" spans="1:13" x14ac:dyDescent="0.2">
      <c r="A9" s="7" t="s">
        <v>81</v>
      </c>
      <c r="B9" s="11">
        <f>B5*B7*B8</f>
        <v>735.88499999999999</v>
      </c>
      <c r="C9" s="11">
        <f t="shared" ref="C9:E9" si="6">C5*C7*C8</f>
        <v>1430.6059999999998</v>
      </c>
      <c r="D9" s="11">
        <f t="shared" si="6"/>
        <v>1661.0840000000001</v>
      </c>
      <c r="E9" s="28">
        <f t="shared" si="6"/>
        <v>1192.1849999999999</v>
      </c>
      <c r="F9" s="28">
        <f t="shared" ref="F9" si="7">F5*F7*F8</f>
        <v>2426.5368599954782</v>
      </c>
      <c r="G9" s="28">
        <f t="shared" ref="G9" si="8">G5*G7*G8</f>
        <v>2183.879678388229</v>
      </c>
      <c r="H9" s="28">
        <f t="shared" ref="H9" si="9">H5*H7*H8</f>
        <v>2108.4365622257269</v>
      </c>
      <c r="I9" s="28">
        <f t="shared" ref="I9" si="10">I5*I7*I8</f>
        <v>2122.7310473933589</v>
      </c>
      <c r="J9" s="28">
        <f t="shared" ref="J9" si="11">J5*J7*J8</f>
        <v>2125.8186561895677</v>
      </c>
      <c r="K9" s="28">
        <f t="shared" ref="K9" si="12">K5*K7*K8</f>
        <v>2250.8668124360133</v>
      </c>
      <c r="L9" s="28">
        <f t="shared" ref="L9" si="13">L5*L7*L8</f>
        <v>2430.9361574308941</v>
      </c>
      <c r="M9" s="11">
        <f t="shared" ref="M9" si="14">M5*M7*M8</f>
        <v>2730.4274920263811</v>
      </c>
    </row>
    <row r="10" spans="1:13" x14ac:dyDescent="0.2">
      <c r="A10" s="7" t="s">
        <v>74</v>
      </c>
      <c r="B10" s="24">
        <v>0.01</v>
      </c>
      <c r="C10" s="24">
        <v>0.02</v>
      </c>
      <c r="D10" s="24">
        <v>0.05</v>
      </c>
      <c r="E10" s="30">
        <v>7.0000000000000007E-2</v>
      </c>
      <c r="F10" s="20">
        <f>'Drivers &amp; Assumptons'!C9</f>
        <v>0.08</v>
      </c>
      <c r="G10" s="14">
        <f t="shared" ref="G10:M10" si="15">F10+0.01</f>
        <v>0.09</v>
      </c>
      <c r="H10" s="14">
        <f t="shared" si="15"/>
        <v>9.9999999999999992E-2</v>
      </c>
      <c r="I10" s="14">
        <f t="shared" si="15"/>
        <v>0.10999999999999999</v>
      </c>
      <c r="J10" s="14">
        <f t="shared" si="15"/>
        <v>0.11999999999999998</v>
      </c>
      <c r="K10" s="14">
        <f t="shared" si="15"/>
        <v>0.12999999999999998</v>
      </c>
      <c r="L10" s="14">
        <f t="shared" si="15"/>
        <v>0.13999999999999999</v>
      </c>
      <c r="M10" s="14">
        <f t="shared" si="15"/>
        <v>0.15</v>
      </c>
    </row>
    <row r="11" spans="1:13" x14ac:dyDescent="0.2">
      <c r="A11" s="7" t="s">
        <v>82</v>
      </c>
      <c r="B11" s="11">
        <f>B9*B10</f>
        <v>7.3588500000000003</v>
      </c>
      <c r="C11" s="11">
        <f t="shared" ref="C11:E11" si="16">C9*C10</f>
        <v>28.612119999999997</v>
      </c>
      <c r="D11" s="11">
        <f t="shared" si="16"/>
        <v>83.054200000000009</v>
      </c>
      <c r="E11" s="28">
        <f t="shared" si="16"/>
        <v>83.452950000000001</v>
      </c>
      <c r="F11" s="11">
        <f t="shared" ref="F11" si="17">F9*F10</f>
        <v>194.12294879963827</v>
      </c>
      <c r="G11" s="11">
        <f t="shared" ref="G11" si="18">G9*G10</f>
        <v>196.54917105494059</v>
      </c>
      <c r="H11" s="11">
        <f t="shared" ref="H11" si="19">H9*H10</f>
        <v>210.84365622257266</v>
      </c>
      <c r="I11" s="11">
        <f t="shared" ref="I11" si="20">I9*I10</f>
        <v>233.50041521326946</v>
      </c>
      <c r="J11" s="11">
        <f t="shared" ref="J11" si="21">J9*J10</f>
        <v>255.09823874274809</v>
      </c>
      <c r="K11" s="11">
        <f t="shared" ref="K11" si="22">K9*K10</f>
        <v>292.61268561668169</v>
      </c>
      <c r="L11" s="11">
        <f t="shared" ref="L11" si="23">L9*L10</f>
        <v>340.33106204032515</v>
      </c>
      <c r="M11" s="11">
        <f t="shared" ref="M11" si="24">M9*M10</f>
        <v>409.56412380395716</v>
      </c>
    </row>
    <row r="12" spans="1:13" x14ac:dyDescent="0.2">
      <c r="A12" s="7" t="s">
        <v>75</v>
      </c>
      <c r="B12" s="24">
        <v>0.05</v>
      </c>
      <c r="C12" s="24">
        <v>0.12</v>
      </c>
      <c r="D12" s="24">
        <v>0.2</v>
      </c>
      <c r="E12" s="30">
        <v>0.23</v>
      </c>
      <c r="F12" s="20">
        <f>'Drivers &amp; Assumptons'!C10</f>
        <v>0.24</v>
      </c>
      <c r="G12" s="14">
        <f>F12+0.01</f>
        <v>0.25</v>
      </c>
      <c r="H12" s="14">
        <f>G12</f>
        <v>0.25</v>
      </c>
      <c r="I12" s="14">
        <f>H12</f>
        <v>0.25</v>
      </c>
      <c r="J12" s="14">
        <f>I12+0.01</f>
        <v>0.26</v>
      </c>
      <c r="K12" s="14">
        <f>J12</f>
        <v>0.26</v>
      </c>
      <c r="L12" s="14">
        <f>K12</f>
        <v>0.26</v>
      </c>
      <c r="M12" s="14">
        <f>L12+0.01</f>
        <v>0.27</v>
      </c>
    </row>
    <row r="13" spans="1:13" x14ac:dyDescent="0.2">
      <c r="A13" s="7" t="s">
        <v>83</v>
      </c>
      <c r="B13" s="11">
        <f>B9*B12</f>
        <v>36.794249999999998</v>
      </c>
      <c r="C13" s="11">
        <f t="shared" ref="C13:E13" si="25">C9*C12</f>
        <v>171.67271999999997</v>
      </c>
      <c r="D13" s="11">
        <f t="shared" si="25"/>
        <v>332.21680000000003</v>
      </c>
      <c r="E13" s="28">
        <f t="shared" si="25"/>
        <v>274.20254999999997</v>
      </c>
      <c r="F13" s="11">
        <f t="shared" ref="F13" si="26">F9*F12</f>
        <v>582.36884639891468</v>
      </c>
      <c r="G13" s="11">
        <f t="shared" ref="G13" si="27">G9*G12</f>
        <v>545.96991959705724</v>
      </c>
      <c r="H13" s="11">
        <f t="shared" ref="H13" si="28">H9*H12</f>
        <v>527.10914055643173</v>
      </c>
      <c r="I13" s="11">
        <f t="shared" ref="I13" si="29">I9*I12</f>
        <v>530.68276184833974</v>
      </c>
      <c r="J13" s="11">
        <f t="shared" ref="J13" si="30">J9*J12</f>
        <v>552.71285060928767</v>
      </c>
      <c r="K13" s="11">
        <f t="shared" ref="K13" si="31">K9*K12</f>
        <v>585.22537123336349</v>
      </c>
      <c r="L13" s="11">
        <f t="shared" ref="L13" si="32">L9*L12</f>
        <v>632.04340093203245</v>
      </c>
      <c r="M13" s="11">
        <f t="shared" ref="M13" si="33">M9*M12</f>
        <v>737.21542284712291</v>
      </c>
    </row>
    <row r="14" spans="1:13" x14ac:dyDescent="0.2">
      <c r="A14" s="7" t="s">
        <v>71</v>
      </c>
      <c r="B14" s="24">
        <f>'Drivers &amp; Assumptons'!$C$12</f>
        <v>1</v>
      </c>
      <c r="C14" s="24">
        <f>'Drivers &amp; Assumptons'!$C$12</f>
        <v>1</v>
      </c>
      <c r="D14" s="24">
        <f>'Drivers &amp; Assumptons'!$C$12</f>
        <v>1</v>
      </c>
      <c r="E14" s="30">
        <f>'Drivers &amp; Assumptons'!$C$12</f>
        <v>1</v>
      </c>
      <c r="F14" s="24">
        <f>'Drivers &amp; Assumptons'!$C$12</f>
        <v>1</v>
      </c>
      <c r="G14" s="24">
        <f>'Drivers &amp; Assumptons'!$C$12</f>
        <v>1</v>
      </c>
      <c r="H14" s="24">
        <f>'Drivers &amp; Assumptons'!$C$12</f>
        <v>1</v>
      </c>
      <c r="I14" s="24">
        <f>'Drivers &amp; Assumptons'!$C$12</f>
        <v>1</v>
      </c>
      <c r="J14" s="24">
        <f>'Drivers &amp; Assumptons'!$C$12</f>
        <v>1</v>
      </c>
      <c r="K14" s="24">
        <f>'Drivers &amp; Assumptons'!$C$12</f>
        <v>1</v>
      </c>
      <c r="L14" s="24">
        <f>'Drivers &amp; Assumptons'!$C$12</f>
        <v>1</v>
      </c>
      <c r="M14" s="24">
        <f>'Drivers &amp; Assumptons'!$C$12</f>
        <v>1</v>
      </c>
    </row>
    <row r="15" spans="1:13" x14ac:dyDescent="0.2">
      <c r="A15" s="7" t="s">
        <v>84</v>
      </c>
      <c r="B15" s="11">
        <f>B13*B14</f>
        <v>36.794249999999998</v>
      </c>
      <c r="C15" s="11">
        <f t="shared" ref="C15:E15" si="34">C13*C14</f>
        <v>171.67271999999997</v>
      </c>
      <c r="D15" s="11">
        <f t="shared" si="34"/>
        <v>332.21680000000003</v>
      </c>
      <c r="E15" s="28">
        <f t="shared" si="34"/>
        <v>274.20254999999997</v>
      </c>
      <c r="F15" s="11">
        <f t="shared" ref="F15" si="35">F13*F14</f>
        <v>582.36884639891468</v>
      </c>
      <c r="G15" s="11">
        <f t="shared" ref="G15" si="36">G13*G14</f>
        <v>545.96991959705724</v>
      </c>
      <c r="H15" s="11">
        <f t="shared" ref="H15" si="37">H13*H14</f>
        <v>527.10914055643173</v>
      </c>
      <c r="I15" s="11">
        <f t="shared" ref="I15" si="38">I13*I14</f>
        <v>530.68276184833974</v>
      </c>
      <c r="J15" s="11">
        <f t="shared" ref="J15" si="39">J13*J14</f>
        <v>552.71285060928767</v>
      </c>
      <c r="K15" s="11">
        <f t="shared" ref="K15" si="40">K13*K14</f>
        <v>585.22537123336349</v>
      </c>
      <c r="L15" s="11">
        <f t="shared" ref="L15" si="41">L13*L14</f>
        <v>632.04340093203245</v>
      </c>
      <c r="M15" s="11">
        <f t="shared" ref="M15" si="42">M13*M14</f>
        <v>737.21542284712291</v>
      </c>
    </row>
    <row r="16" spans="1:13" x14ac:dyDescent="0.2">
      <c r="A16" s="7" t="s">
        <v>76</v>
      </c>
      <c r="B16" s="24">
        <v>0.94</v>
      </c>
      <c r="C16" s="24">
        <v>0.86</v>
      </c>
      <c r="D16" s="24">
        <v>0.75</v>
      </c>
      <c r="E16" s="30">
        <v>0.7</v>
      </c>
      <c r="F16" s="14">
        <f>1-F10-F12</f>
        <v>0.68</v>
      </c>
      <c r="G16" s="14">
        <f t="shared" ref="G16:M16" si="43">1-G10-G12</f>
        <v>0.66</v>
      </c>
      <c r="H16" s="14">
        <f t="shared" si="43"/>
        <v>0.65</v>
      </c>
      <c r="I16" s="14">
        <f t="shared" si="43"/>
        <v>0.64</v>
      </c>
      <c r="J16" s="14">
        <f t="shared" si="43"/>
        <v>0.62</v>
      </c>
      <c r="K16" s="14">
        <f t="shared" si="43"/>
        <v>0.61</v>
      </c>
      <c r="L16" s="14">
        <f t="shared" si="43"/>
        <v>0.6</v>
      </c>
      <c r="M16" s="14">
        <f t="shared" si="43"/>
        <v>0.57999999999999996</v>
      </c>
    </row>
    <row r="17" spans="1:13" x14ac:dyDescent="0.2">
      <c r="A17" s="7" t="s">
        <v>85</v>
      </c>
      <c r="B17" s="11">
        <f>B9*B16</f>
        <v>691.7319</v>
      </c>
      <c r="C17" s="11">
        <f t="shared" ref="C17:E17" si="44">C9*C16</f>
        <v>1230.3211599999997</v>
      </c>
      <c r="D17" s="11">
        <f t="shared" si="44"/>
        <v>1245.8130000000001</v>
      </c>
      <c r="E17" s="28">
        <f t="shared" si="44"/>
        <v>834.52949999999987</v>
      </c>
      <c r="F17" s="11">
        <f t="shared" ref="F17" si="45">F9*F16</f>
        <v>1650.0450647969253</v>
      </c>
      <c r="G17" s="11">
        <f t="shared" ref="G17" si="46">G9*G16</f>
        <v>1441.3605877362311</v>
      </c>
      <c r="H17" s="11">
        <f t="shared" ref="H17" si="47">H9*H16</f>
        <v>1370.4837654467226</v>
      </c>
      <c r="I17" s="11">
        <f t="shared" ref="I17" si="48">I9*I16</f>
        <v>1358.5478703317497</v>
      </c>
      <c r="J17" s="11">
        <f t="shared" ref="J17" si="49">J9*J16</f>
        <v>1318.0075668375321</v>
      </c>
      <c r="K17" s="11">
        <f t="shared" ref="K17" si="50">K9*K16</f>
        <v>1373.0287555859682</v>
      </c>
      <c r="L17" s="11">
        <f t="shared" ref="L17" si="51">L9*L16</f>
        <v>1458.5616944585365</v>
      </c>
      <c r="M17" s="11">
        <f t="shared" ref="M17" si="52">M9*M16</f>
        <v>1583.6479453753009</v>
      </c>
    </row>
    <row r="18" spans="1:13" x14ac:dyDescent="0.2">
      <c r="A18" s="7" t="s">
        <v>79</v>
      </c>
      <c r="B18" s="24">
        <f>'Drivers &amp; Assumptons'!$C$13</f>
        <v>1</v>
      </c>
      <c r="C18" s="24">
        <f>'Drivers &amp; Assumptons'!$C$13</f>
        <v>1</v>
      </c>
      <c r="D18" s="24">
        <f>'Drivers &amp; Assumptons'!$C$13</f>
        <v>1</v>
      </c>
      <c r="E18" s="30">
        <f>'Drivers &amp; Assumptons'!$C$13</f>
        <v>1</v>
      </c>
      <c r="F18" s="24">
        <f>'Drivers &amp; Assumptons'!$C$13</f>
        <v>1</v>
      </c>
      <c r="G18" s="24">
        <f>'Drivers &amp; Assumptons'!$C$13</f>
        <v>1</v>
      </c>
      <c r="H18" s="24">
        <f>'Drivers &amp; Assumptons'!$C$13</f>
        <v>1</v>
      </c>
      <c r="I18" s="24">
        <f>'Drivers &amp; Assumptons'!$C$13</f>
        <v>1</v>
      </c>
      <c r="J18" s="24">
        <f>'Drivers &amp; Assumptons'!$C$13</f>
        <v>1</v>
      </c>
      <c r="K18" s="24">
        <f>'Drivers &amp; Assumptons'!$C$13</f>
        <v>1</v>
      </c>
      <c r="L18" s="24">
        <f>'Drivers &amp; Assumptons'!$C$13</f>
        <v>1</v>
      </c>
      <c r="M18" s="24">
        <f>'Drivers &amp; Assumptons'!$C$13</f>
        <v>1</v>
      </c>
    </row>
    <row r="19" spans="1:13" x14ac:dyDescent="0.2">
      <c r="A19" s="7" t="s">
        <v>86</v>
      </c>
      <c r="B19" s="11">
        <f>B17*B18</f>
        <v>691.7319</v>
      </c>
      <c r="C19" s="11">
        <f t="shared" ref="C19:E19" si="53">C17*C18</f>
        <v>1230.3211599999997</v>
      </c>
      <c r="D19" s="11">
        <f t="shared" si="53"/>
        <v>1245.8130000000001</v>
      </c>
      <c r="E19" s="28">
        <f t="shared" si="53"/>
        <v>834.52949999999987</v>
      </c>
      <c r="F19" s="11">
        <f t="shared" ref="F19" si="54">F17*F18</f>
        <v>1650.0450647969253</v>
      </c>
      <c r="G19" s="11">
        <f t="shared" ref="G19" si="55">G17*G18</f>
        <v>1441.3605877362311</v>
      </c>
      <c r="H19" s="11">
        <f t="shared" ref="H19" si="56">H17*H18</f>
        <v>1370.4837654467226</v>
      </c>
      <c r="I19" s="11">
        <f t="shared" ref="I19" si="57">I17*I18</f>
        <v>1358.5478703317497</v>
      </c>
      <c r="J19" s="11">
        <f t="shared" ref="J19" si="58">J17*J18</f>
        <v>1318.0075668375321</v>
      </c>
      <c r="K19" s="11">
        <f t="shared" ref="K19" si="59">K17*K18</f>
        <v>1373.0287555859682</v>
      </c>
      <c r="L19" s="11">
        <f t="shared" ref="L19" si="60">L17*L18</f>
        <v>1458.5616944585365</v>
      </c>
      <c r="M19" s="11">
        <f t="shared" ref="M19" si="61">M17*M18</f>
        <v>1583.6479453753009</v>
      </c>
    </row>
    <row r="20" spans="1:13" x14ac:dyDescent="0.2">
      <c r="A20" s="7" t="s">
        <v>88</v>
      </c>
      <c r="B20" s="11">
        <f>B15+B19+B11</f>
        <v>735.88499999999999</v>
      </c>
      <c r="C20" s="11">
        <f t="shared" ref="C20:E20" si="62">C15+C19+C11</f>
        <v>1430.6059999999998</v>
      </c>
      <c r="D20" s="11">
        <f t="shared" si="62"/>
        <v>1661.0840000000003</v>
      </c>
      <c r="E20" s="28">
        <f t="shared" si="62"/>
        <v>1192.1849999999999</v>
      </c>
      <c r="F20" s="11">
        <f t="shared" ref="F20" si="63">F15+F19+F11</f>
        <v>2426.5368599954786</v>
      </c>
      <c r="G20" s="11">
        <f t="shared" ref="G20" si="64">G15+G19+G11</f>
        <v>2183.879678388229</v>
      </c>
      <c r="H20" s="11">
        <f t="shared" ref="H20" si="65">H15+H19+H11</f>
        <v>2108.4365622257269</v>
      </c>
      <c r="I20" s="11">
        <f t="shared" ref="I20" si="66">I15+I19+I11</f>
        <v>2122.7310473933589</v>
      </c>
      <c r="J20" s="11">
        <f t="shared" ref="J20" si="67">J15+J19+J11</f>
        <v>2125.8186561895677</v>
      </c>
      <c r="K20" s="11">
        <f t="shared" ref="K20" si="68">K15+K19+K11</f>
        <v>2250.8668124360133</v>
      </c>
      <c r="L20" s="11">
        <f t="shared" ref="L20" si="69">L15+L19+L11</f>
        <v>2430.9361574308941</v>
      </c>
      <c r="M20" s="11">
        <f t="shared" ref="M20" si="70">M15+M19+M11</f>
        <v>2730.4274920263806</v>
      </c>
    </row>
    <row r="21" spans="1:13" x14ac:dyDescent="0.2">
      <c r="A21" s="23" t="s">
        <v>87</v>
      </c>
      <c r="B21" s="18">
        <f>735885 / 1000</f>
        <v>735.88499999999999</v>
      </c>
      <c r="C21" s="18">
        <f>1430606/1000</f>
        <v>1430.606</v>
      </c>
      <c r="D21" s="18">
        <f>1661084/1000</f>
        <v>1661.0840000000001</v>
      </c>
      <c r="E21" s="26">
        <f>1192185/1000</f>
        <v>1192.1849999999999</v>
      </c>
      <c r="F21" s="11">
        <f>((E5*E6*E8)*(6/12)) + ((F5*F6*F8)*(6/12))</f>
        <v>2426.5368599954782</v>
      </c>
      <c r="G21" s="11">
        <f>G5*G6*G8</f>
        <v>2183.879678388229</v>
      </c>
      <c r="H21" s="11">
        <f t="shared" ref="H21:M21" si="71">H5*H6*H8</f>
        <v>2108.4365622257269</v>
      </c>
      <c r="I21" s="11">
        <f t="shared" si="71"/>
        <v>2122.7310473933589</v>
      </c>
      <c r="J21" s="11">
        <f t="shared" si="71"/>
        <v>2125.8186561895677</v>
      </c>
      <c r="K21" s="11">
        <f t="shared" si="71"/>
        <v>2250.8668124360133</v>
      </c>
      <c r="L21" s="11">
        <f t="shared" si="71"/>
        <v>2430.9361574308941</v>
      </c>
      <c r="M21" s="11">
        <f t="shared" si="71"/>
        <v>2730.4274920263811</v>
      </c>
    </row>
    <row r="22" spans="1:13" x14ac:dyDescent="0.2">
      <c r="A22" s="33" t="s">
        <v>89</v>
      </c>
      <c r="B22" s="34">
        <f>B20-B21</f>
        <v>0</v>
      </c>
      <c r="C22" s="34">
        <f t="shared" ref="C22:M22" si="72">C20-C21</f>
        <v>0</v>
      </c>
      <c r="D22" s="34">
        <f t="shared" si="72"/>
        <v>0</v>
      </c>
      <c r="E22" s="37">
        <f t="shared" si="72"/>
        <v>0</v>
      </c>
      <c r="F22" s="34">
        <f t="shared" si="72"/>
        <v>0</v>
      </c>
      <c r="G22" s="34">
        <f t="shared" si="72"/>
        <v>0</v>
      </c>
      <c r="H22" s="34">
        <f t="shared" si="72"/>
        <v>0</v>
      </c>
      <c r="I22" s="34">
        <f t="shared" si="72"/>
        <v>0</v>
      </c>
      <c r="J22" s="34">
        <f t="shared" si="72"/>
        <v>0</v>
      </c>
      <c r="K22" s="34">
        <f t="shared" si="72"/>
        <v>0</v>
      </c>
      <c r="L22" s="34">
        <f t="shared" si="72"/>
        <v>0</v>
      </c>
      <c r="M22" s="34">
        <f t="shared" si="72"/>
        <v>0</v>
      </c>
    </row>
    <row r="23" spans="1:13" x14ac:dyDescent="0.2">
      <c r="A23" s="10"/>
      <c r="B23" s="11"/>
      <c r="E23" s="25"/>
    </row>
    <row r="24" spans="1:13" x14ac:dyDescent="0.2">
      <c r="A24" s="7" t="s">
        <v>93</v>
      </c>
      <c r="B24" s="19">
        <f>[1]Metrics!$B$20</f>
        <v>333080</v>
      </c>
      <c r="C24" s="19">
        <f>[1]Metrics!$B$21</f>
        <v>211808</v>
      </c>
      <c r="D24" s="19">
        <f>[1]Metrics!$B$23</f>
        <v>263239</v>
      </c>
      <c r="E24" s="38">
        <f>[1]Metrics!$B$24</f>
        <v>173316</v>
      </c>
      <c r="F24" s="19">
        <f>[1]Metrics!$B$26</f>
        <v>346632</v>
      </c>
      <c r="G24" s="11">
        <f>F24*(1+'Drivers &amp; Assumptons'!$C$19)</f>
        <v>388227.84000000003</v>
      </c>
      <c r="H24" s="11">
        <f>G24*(1+'Drivers &amp; Assumptons'!$C$19)</f>
        <v>434815.18080000009</v>
      </c>
      <c r="I24" s="11">
        <f>H24*(1+'Drivers &amp; Assumptons'!$C$19)</f>
        <v>486993.00249600015</v>
      </c>
      <c r="J24" s="11">
        <f>I24*(1+'Drivers &amp; Assumptons'!$C$19)</f>
        <v>545432.16279552027</v>
      </c>
      <c r="K24" s="11">
        <f>J24*(1+'Drivers &amp; Assumptons'!$C$19)</f>
        <v>610884.02233098273</v>
      </c>
      <c r="L24" s="11">
        <f>K24*(1+'Drivers &amp; Assumptons'!$C$19)</f>
        <v>684190.10501070076</v>
      </c>
      <c r="M24" s="11">
        <f>L24*(1+'Drivers &amp; Assumptons'!$C$19)</f>
        <v>766292.91761198489</v>
      </c>
    </row>
    <row r="25" spans="1:13" x14ac:dyDescent="0.2">
      <c r="A25" s="7" t="s">
        <v>23</v>
      </c>
      <c r="B25" s="35">
        <f>B26/B24</f>
        <v>1.0858352347784317E-4</v>
      </c>
      <c r="C25" s="35">
        <f t="shared" ref="C25:E25" si="73">C26/C24</f>
        <v>9.3764163770962373E-5</v>
      </c>
      <c r="D25" s="35">
        <f t="shared" si="73"/>
        <v>5.7624440147546525E-5</v>
      </c>
      <c r="E25" s="39">
        <f t="shared" si="73"/>
        <v>2.5656027141175659E-4</v>
      </c>
      <c r="F25" s="21">
        <f>'Drivers &amp; Assumptons'!$C$20</f>
        <v>2.0000000000000001E-4</v>
      </c>
      <c r="G25" s="21">
        <f>'Drivers &amp; Assumptons'!$C$20</f>
        <v>2.0000000000000001E-4</v>
      </c>
      <c r="H25" s="21">
        <f>'Drivers &amp; Assumptons'!$C$20</f>
        <v>2.0000000000000001E-4</v>
      </c>
      <c r="I25" s="21">
        <f>'Drivers &amp; Assumptons'!$C$20</f>
        <v>2.0000000000000001E-4</v>
      </c>
      <c r="J25" s="21">
        <f>'Drivers &amp; Assumptons'!$C$20</f>
        <v>2.0000000000000001E-4</v>
      </c>
      <c r="K25" s="21">
        <f>'Drivers &amp; Assumptons'!$C$20</f>
        <v>2.0000000000000001E-4</v>
      </c>
      <c r="L25" s="21">
        <f>'Drivers &amp; Assumptons'!$C$20</f>
        <v>2.0000000000000001E-4</v>
      </c>
      <c r="M25" s="21">
        <f>'Drivers &amp; Assumptons'!$C$20</f>
        <v>2.0000000000000001E-4</v>
      </c>
    </row>
    <row r="26" spans="1:13" x14ac:dyDescent="0.2">
      <c r="A26" s="23" t="s">
        <v>90</v>
      </c>
      <c r="B26" s="18">
        <f>36167 / 1000</f>
        <v>36.167000000000002</v>
      </c>
      <c r="C26" s="18">
        <f>19860/1000</f>
        <v>19.86</v>
      </c>
      <c r="D26" s="18">
        <f>15169/1000</f>
        <v>15.169</v>
      </c>
      <c r="E26" s="26">
        <f>44466/1000</f>
        <v>44.466000000000001</v>
      </c>
      <c r="F26" s="11">
        <f>F25*F24</f>
        <v>69.326400000000007</v>
      </c>
      <c r="G26" s="11">
        <f t="shared" ref="G26:M26" si="74">G25*G24</f>
        <v>77.645568000000011</v>
      </c>
      <c r="H26" s="11">
        <f t="shared" si="74"/>
        <v>86.963036160000016</v>
      </c>
      <c r="I26" s="11">
        <f t="shared" si="74"/>
        <v>97.398600499200029</v>
      </c>
      <c r="J26" s="11">
        <f t="shared" si="74"/>
        <v>109.08643255910405</v>
      </c>
      <c r="K26" s="11">
        <f t="shared" si="74"/>
        <v>122.17680446619656</v>
      </c>
      <c r="L26" s="11">
        <f t="shared" si="74"/>
        <v>136.83802100214015</v>
      </c>
      <c r="M26" s="11">
        <f t="shared" si="74"/>
        <v>153.25858352239698</v>
      </c>
    </row>
    <row r="27" spans="1:13" x14ac:dyDescent="0.2">
      <c r="A27" s="10"/>
      <c r="E27" s="25"/>
    </row>
    <row r="28" spans="1:13" x14ac:dyDescent="0.2">
      <c r="A28" s="33" t="s">
        <v>91</v>
      </c>
      <c r="B28" s="11">
        <f>B26+B21</f>
        <v>772.05200000000002</v>
      </c>
      <c r="C28" s="11">
        <f>C26+C21</f>
        <v>1450.4659999999999</v>
      </c>
      <c r="D28" s="11">
        <f>D26+D21</f>
        <v>1676.2530000000002</v>
      </c>
      <c r="E28" s="28">
        <f>E26+E21</f>
        <v>1236.6509999999998</v>
      </c>
      <c r="F28" s="11">
        <f>F26+F20</f>
        <v>2495.8632599954785</v>
      </c>
      <c r="G28" s="11">
        <f>G20+G26</f>
        <v>2261.5252463882289</v>
      </c>
      <c r="H28" s="11">
        <f t="shared" ref="H28:M28" si="75">H20+H26</f>
        <v>2195.3995983857271</v>
      </c>
      <c r="I28" s="11">
        <f t="shared" si="75"/>
        <v>2220.1296478925588</v>
      </c>
      <c r="J28" s="11">
        <f t="shared" si="75"/>
        <v>2234.9050887486719</v>
      </c>
      <c r="K28" s="11">
        <f t="shared" si="75"/>
        <v>2373.04361690221</v>
      </c>
      <c r="L28" s="11">
        <f t="shared" si="75"/>
        <v>2567.7741784330342</v>
      </c>
      <c r="M28" s="11">
        <f t="shared" si="75"/>
        <v>2883.6860755487778</v>
      </c>
    </row>
    <row r="29" spans="1:13" x14ac:dyDescent="0.2">
      <c r="A29" s="23" t="s">
        <v>0</v>
      </c>
      <c r="B29" s="18">
        <f>772052/1000</f>
        <v>772.05200000000002</v>
      </c>
      <c r="C29" s="18">
        <f>1450466/1000</f>
        <v>1450.4659999999999</v>
      </c>
      <c r="D29" s="18">
        <f>1676253/1000</f>
        <v>1676.2529999999999</v>
      </c>
      <c r="E29" s="26">
        <f>1236651/1000</f>
        <v>1236.6510000000001</v>
      </c>
      <c r="F29" s="11">
        <f>F26+F21</f>
        <v>2495.8632599954781</v>
      </c>
      <c r="G29" s="11">
        <f>G21+G26</f>
        <v>2261.5252463882289</v>
      </c>
      <c r="H29" s="11">
        <f t="shared" ref="H29:M29" si="76">H21+H26</f>
        <v>2195.3995983857271</v>
      </c>
      <c r="I29" s="11">
        <f t="shared" si="76"/>
        <v>2220.1296478925588</v>
      </c>
      <c r="J29" s="11">
        <f t="shared" si="76"/>
        <v>2234.9050887486719</v>
      </c>
      <c r="K29" s="11">
        <f t="shared" si="76"/>
        <v>2373.04361690221</v>
      </c>
      <c r="L29" s="11">
        <f t="shared" si="76"/>
        <v>2567.7741784330342</v>
      </c>
      <c r="M29" s="11">
        <f t="shared" si="76"/>
        <v>2883.6860755487778</v>
      </c>
    </row>
  </sheetData>
  <pageMargins left="0.7" right="0.7" top="0.75" bottom="0.75" header="0.3" footer="0.3"/>
  <ignoredErrors>
    <ignoredError sqref="F5 J11:J12 G11 M11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85AE1-8C39-2C49-8636-58A6B83C22C5}">
  <dimension ref="A1:M18"/>
  <sheetViews>
    <sheetView zoomScale="125" workbookViewId="0">
      <pane ySplit="1" topLeftCell="A2" activePane="bottomLeft" state="frozen"/>
      <selection pane="bottomLeft" activeCell="B9" sqref="B9"/>
    </sheetView>
  </sheetViews>
  <sheetFormatPr baseColWidth="10" defaultRowHeight="16" x14ac:dyDescent="0.2"/>
  <cols>
    <col min="1" max="1" width="46.6640625" bestFit="1" customWidth="1"/>
    <col min="2" max="3" width="11" bestFit="1" customWidth="1"/>
    <col min="4" max="4" width="11.83203125" bestFit="1" customWidth="1"/>
    <col min="5" max="5" width="13.83203125" bestFit="1" customWidth="1"/>
  </cols>
  <sheetData>
    <row r="1" spans="1:13" x14ac:dyDescent="0.2">
      <c r="A1" s="36" t="s">
        <v>92</v>
      </c>
      <c r="B1" t="str">
        <f>'Drivers &amp; Assumptons'!C2 &amp; "A"</f>
        <v>2022A</v>
      </c>
      <c r="C1" t="str">
        <f>LEFT(B1,4) + 1 &amp; IF(LEFT(B1,4) + 1 &lt;= 2024, "A", "E")</f>
        <v>2023A</v>
      </c>
      <c r="D1" t="str">
        <f t="shared" ref="D1:M1" si="0">LEFT(C1,4) + 1 &amp; IF(LEFT(C1,4) + 1 &lt;= 2024, "A", "E")</f>
        <v>2024A</v>
      </c>
      <c r="E1" t="s">
        <v>55</v>
      </c>
      <c r="F1" t="str">
        <f>LEFT(D1,4) + 1 &amp; IF(LEFT(D1,4) + 1 &lt;= 2024, "A", "E")</f>
        <v>2025E</v>
      </c>
      <c r="G1" t="str">
        <f t="shared" si="0"/>
        <v>2026E</v>
      </c>
      <c r="H1" t="str">
        <f t="shared" si="0"/>
        <v>2027E</v>
      </c>
      <c r="I1" t="str">
        <f t="shared" si="0"/>
        <v>2028E</v>
      </c>
      <c r="J1" t="str">
        <f t="shared" si="0"/>
        <v>2029E</v>
      </c>
      <c r="K1" t="str">
        <f t="shared" si="0"/>
        <v>2030E</v>
      </c>
      <c r="L1" t="str">
        <f t="shared" si="0"/>
        <v>2031E</v>
      </c>
      <c r="M1" t="str">
        <f t="shared" si="0"/>
        <v>2032E</v>
      </c>
    </row>
    <row r="2" spans="1:13" x14ac:dyDescent="0.2">
      <c r="A2" s="8" t="s">
        <v>0</v>
      </c>
      <c r="B2" s="19">
        <f>'Revenue Build'!B29</f>
        <v>772.05200000000002</v>
      </c>
      <c r="C2" s="19">
        <f>'Revenue Build'!C29</f>
        <v>1450.4659999999999</v>
      </c>
      <c r="D2" s="19">
        <f>'Revenue Build'!D29</f>
        <v>1676.2529999999999</v>
      </c>
      <c r="E2" s="19">
        <f>'Revenue Build'!E29</f>
        <v>1236.6510000000001</v>
      </c>
      <c r="F2" s="19">
        <f>'Revenue Build'!F29</f>
        <v>2495.8632599954781</v>
      </c>
      <c r="G2" s="11">
        <f>'Revenue Build'!G29</f>
        <v>2261.5252463882289</v>
      </c>
      <c r="H2" s="11">
        <f>'Revenue Build'!H29</f>
        <v>2195.3995983857271</v>
      </c>
      <c r="I2" s="11">
        <f>'Revenue Build'!I29</f>
        <v>2220.1296478925588</v>
      </c>
      <c r="J2" s="11">
        <f>'Revenue Build'!J29</f>
        <v>2234.9050887486719</v>
      </c>
      <c r="K2" s="11">
        <f>'Revenue Build'!K29</f>
        <v>2373.04361690221</v>
      </c>
      <c r="L2" s="11">
        <f>'Revenue Build'!L29</f>
        <v>2567.7741784330342</v>
      </c>
      <c r="M2" s="11">
        <f>'Revenue Build'!M29</f>
        <v>2883.6860755487778</v>
      </c>
    </row>
    <row r="3" spans="1:13" x14ac:dyDescent="0.2">
      <c r="A3" t="s">
        <v>94</v>
      </c>
      <c r="B3" s="18">
        <f>286953/1000</f>
        <v>286.95299999999997</v>
      </c>
      <c r="C3" s="18">
        <f>719806/1000</f>
        <v>719.80600000000004</v>
      </c>
      <c r="D3" s="18">
        <f>1010811/1000</f>
        <v>1010.811</v>
      </c>
      <c r="E3" s="18">
        <f>753784/1000</f>
        <v>753.78399999999999</v>
      </c>
      <c r="F3" s="11">
        <f>F2*(E3/E2)</f>
        <v>1521.3199128714823</v>
      </c>
      <c r="G3" s="11">
        <f t="shared" ref="G3:M3" si="1">G2*(F3/F2)</f>
        <v>1378.4823255093836</v>
      </c>
      <c r="H3" s="11">
        <f t="shared" si="1"/>
        <v>1338.1763253089084</v>
      </c>
      <c r="I3" s="11">
        <f t="shared" si="1"/>
        <v>1353.2501946847126</v>
      </c>
      <c r="J3" s="11">
        <f t="shared" si="1"/>
        <v>1362.2563661189204</v>
      </c>
      <c r="K3" s="11">
        <f t="shared" si="1"/>
        <v>1446.4568497684597</v>
      </c>
      <c r="L3" s="11">
        <f t="shared" si="1"/>
        <v>1565.1522469281683</v>
      </c>
      <c r="M3" s="11">
        <f t="shared" si="1"/>
        <v>1757.7120988633494</v>
      </c>
    </row>
    <row r="4" spans="1:13" x14ac:dyDescent="0.2">
      <c r="A4" t="s">
        <v>95</v>
      </c>
      <c r="B4" s="18">
        <f>22401/1000</f>
        <v>22.401</v>
      </c>
      <c r="C4" s="18">
        <f>7918/1000</f>
        <v>7.9180000000000001</v>
      </c>
      <c r="D4" s="18">
        <f>6553/1000</f>
        <v>6.5529999999999999</v>
      </c>
      <c r="E4" s="40">
        <f>805/1000</f>
        <v>0.80500000000000005</v>
      </c>
      <c r="F4" s="11">
        <f>F2*(E4/E2)</f>
        <v>1.6246862892573248</v>
      </c>
      <c r="G4" s="11">
        <f t="shared" ref="G4:M4" si="2">G2*(F4/F2)</f>
        <v>1.4721435743330369</v>
      </c>
      <c r="H4" s="11">
        <f t="shared" si="2"/>
        <v>1.4290989751356773</v>
      </c>
      <c r="I4" s="11">
        <f t="shared" si="2"/>
        <v>1.4451970414882696</v>
      </c>
      <c r="J4" s="11">
        <f t="shared" si="2"/>
        <v>1.4548151389864086</v>
      </c>
      <c r="K4" s="11">
        <f t="shared" si="2"/>
        <v>1.5447366408196648</v>
      </c>
      <c r="L4" s="11">
        <f t="shared" si="2"/>
        <v>1.6714968197483306</v>
      </c>
      <c r="M4" s="11">
        <f t="shared" si="2"/>
        <v>1.8771401881507122</v>
      </c>
    </row>
    <row r="5" spans="1:13" x14ac:dyDescent="0.2">
      <c r="A5" t="s">
        <v>105</v>
      </c>
      <c r="B5" s="19">
        <f>B2*[1]Metrics!$D$49</f>
        <v>309.35400000000004</v>
      </c>
      <c r="C5" s="19">
        <f>C2*[1]Metrics!$D$50</f>
        <v>727.72400000000005</v>
      </c>
      <c r="D5" s="19">
        <f>D2*[1]Metrics!$D$51</f>
        <v>1017.364</v>
      </c>
      <c r="E5" s="19">
        <f>E2*[1]Metrics!$D$52</f>
        <v>754.58900000000006</v>
      </c>
      <c r="F5" s="19">
        <f>F2*'Drivers &amp; Assumptons'!$C$22</f>
        <v>1522.9508026166409</v>
      </c>
      <c r="G5" s="11">
        <f>G2*'Drivers &amp; Assumptons'!$C$22</f>
        <v>1379.9600900936334</v>
      </c>
      <c r="H5" s="11">
        <f>H2*'Drivers &amp; Assumptons'!$C$22</f>
        <v>1339.6108809389868</v>
      </c>
      <c r="I5" s="11">
        <f>I2*'Drivers &amp; Assumptons'!$C$22</f>
        <v>1354.7009098475605</v>
      </c>
      <c r="J5" s="11">
        <f>J2*'Drivers &amp; Assumptons'!$C$22</f>
        <v>1363.7167361035522</v>
      </c>
      <c r="K5" s="11">
        <f>K2*'Drivers &amp; Assumptons'!$C$22</f>
        <v>1448.0074845975596</v>
      </c>
      <c r="L5" s="11">
        <f>L2*'Drivers &amp; Assumptons'!$C$22</f>
        <v>1566.8301259380532</v>
      </c>
      <c r="M5" s="11">
        <f>M2*'Drivers &amp; Assumptons'!$C$22</f>
        <v>1759.5964064391087</v>
      </c>
    </row>
    <row r="6" spans="1:13" x14ac:dyDescent="0.2">
      <c r="A6" s="23" t="s">
        <v>96</v>
      </c>
      <c r="B6" s="18">
        <f>SUM(B3:B4)</f>
        <v>309.35399999999998</v>
      </c>
      <c r="C6" s="18">
        <f t="shared" ref="C6:F6" si="3">SUM(C3:C4)</f>
        <v>727.72400000000005</v>
      </c>
      <c r="D6" s="18">
        <f t="shared" si="3"/>
        <v>1017.364</v>
      </c>
      <c r="E6" s="18">
        <f t="shared" si="3"/>
        <v>754.58899999999994</v>
      </c>
      <c r="F6" s="11">
        <f t="shared" si="3"/>
        <v>1522.9445991607397</v>
      </c>
      <c r="G6" s="11">
        <f t="shared" ref="G6" si="4">SUM(G3:G4)</f>
        <v>1379.9544690837167</v>
      </c>
      <c r="H6" s="11">
        <f t="shared" ref="H6" si="5">SUM(H3:H4)</f>
        <v>1339.6054242840441</v>
      </c>
      <c r="I6" s="11">
        <f t="shared" ref="I6" si="6">SUM(I3:I4)</f>
        <v>1354.6953917262008</v>
      </c>
      <c r="J6" s="11">
        <f t="shared" ref="J6" si="7">SUM(J3:J4)</f>
        <v>1363.7111812579067</v>
      </c>
      <c r="K6" s="11">
        <f t="shared" ref="K6" si="8">SUM(K3:K4)</f>
        <v>1448.0015864092793</v>
      </c>
      <c r="L6" s="11">
        <f t="shared" ref="L6" si="9">SUM(L3:L4)</f>
        <v>1566.8237437479168</v>
      </c>
      <c r="M6" s="11">
        <f t="shared" ref="M6" si="10">SUM(M3:M4)</f>
        <v>1759.5892390515</v>
      </c>
    </row>
    <row r="7" spans="1:13" x14ac:dyDescent="0.2"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</row>
    <row r="8" spans="1:13" x14ac:dyDescent="0.2">
      <c r="A8" s="8" t="s">
        <v>97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9" spans="1:13" x14ac:dyDescent="0.2">
      <c r="A9" t="s">
        <v>98</v>
      </c>
      <c r="B9" s="18">
        <f>212961/1000</f>
        <v>212.96100000000001</v>
      </c>
      <c r="C9" s="18">
        <f>296055/1000</f>
        <v>296.05500000000001</v>
      </c>
      <c r="D9" s="18">
        <f>263410/1000</f>
        <v>263.41000000000003</v>
      </c>
      <c r="E9" s="18">
        <f>579012/1000</f>
        <v>579.01199999999994</v>
      </c>
      <c r="F9" s="19">
        <f>F2*'Drivers &amp; Assumptons'!$C$23</f>
        <v>475.83633051813786</v>
      </c>
      <c r="G9" s="11">
        <f>G2*'Drivers &amp; Assumptons'!$C$23</f>
        <v>431.15978822391583</v>
      </c>
      <c r="H9" s="11">
        <f>H2*'Drivers &amp; Assumptons'!$C$23</f>
        <v>418.55293343223883</v>
      </c>
      <c r="I9" s="11">
        <f>I2*'Drivers &amp; Assumptons'!$C$23</f>
        <v>423.2677173707163</v>
      </c>
      <c r="J9" s="11">
        <f>J2*'Drivers &amp; Assumptons'!$C$23</f>
        <v>426.08465516993425</v>
      </c>
      <c r="K9" s="11">
        <f>K2*'Drivers &amp; Assumptons'!$C$23</f>
        <v>452.4207655624063</v>
      </c>
      <c r="L9" s="11">
        <f>L2*'Drivers &amp; Assumptons'!$C$23</f>
        <v>489.54614711825792</v>
      </c>
      <c r="M9" s="11">
        <f>M2*'Drivers &amp; Assumptons'!$C$23</f>
        <v>549.7747503033745</v>
      </c>
    </row>
    <row r="10" spans="1:13" x14ac:dyDescent="0.2">
      <c r="A10" t="s">
        <v>99</v>
      </c>
      <c r="B10" s="18">
        <f>82272/1000</f>
        <v>82.272000000000006</v>
      </c>
      <c r="C10" s="18">
        <f>100128/1000</f>
        <v>100.128</v>
      </c>
      <c r="D10" s="18">
        <f>137283/1000</f>
        <v>137.28299999999999</v>
      </c>
      <c r="E10" s="18">
        <f>73824/1000</f>
        <v>73.823999999999998</v>
      </c>
      <c r="F10" s="19">
        <f>F2*'Drivers &amp; Assumptons'!$C$26</f>
        <v>149.75179559972867</v>
      </c>
      <c r="G10" s="11">
        <f>G2*'Drivers &amp; Assumptons'!$C$26</f>
        <v>135.69151478329374</v>
      </c>
      <c r="H10" s="11">
        <f>H2*'Drivers &amp; Assumptons'!$C$26</f>
        <v>131.72397590314361</v>
      </c>
      <c r="I10" s="11">
        <f>I2*'Drivers &amp; Assumptons'!$C$26</f>
        <v>133.20777887355351</v>
      </c>
      <c r="J10" s="11">
        <f>J2*'Drivers &amp; Assumptons'!$C$26</f>
        <v>134.0943053249203</v>
      </c>
      <c r="K10" s="11">
        <f>K2*'Drivers &amp; Assumptons'!$C$26</f>
        <v>142.38261701413259</v>
      </c>
      <c r="L10" s="11">
        <f>L2*'Drivers &amp; Assumptons'!$C$26</f>
        <v>154.06645070598205</v>
      </c>
      <c r="M10" s="11">
        <f>M2*'Drivers &amp; Assumptons'!$C$26</f>
        <v>173.02116453292666</v>
      </c>
    </row>
    <row r="11" spans="1:13" x14ac:dyDescent="0.2">
      <c r="A11" t="s">
        <v>100</v>
      </c>
      <c r="B11" s="18">
        <f>13277/1000</f>
        <v>13.276999999999999</v>
      </c>
      <c r="C11" s="18">
        <f>34887/1000</f>
        <v>34.887</v>
      </c>
      <c r="D11" s="18">
        <f>50854/1000</f>
        <v>50.853999999999999</v>
      </c>
      <c r="E11" s="18">
        <f>28089/1000</f>
        <v>28.088999999999999</v>
      </c>
      <c r="F11" s="19">
        <f>F2*'Drivers &amp; Assumptons'!$C$27</f>
        <v>56.406509675897802</v>
      </c>
      <c r="G11" s="11">
        <f>G2*'Drivers &amp; Assumptons'!$C$27</f>
        <v>51.11047056837397</v>
      </c>
      <c r="H11" s="11">
        <f>H2*'Drivers &amp; Assumptons'!$C$27</f>
        <v>49.616030923517428</v>
      </c>
      <c r="I11" s="11">
        <f>I2*'Drivers &amp; Assumptons'!$C$27</f>
        <v>50.174930042371827</v>
      </c>
      <c r="J11" s="11">
        <f>J2*'Drivers &amp; Assumptons'!$C$27</f>
        <v>50.50885500571998</v>
      </c>
      <c r="K11" s="11">
        <f>K2*'Drivers &amp; Assumptons'!$C$27</f>
        <v>53.630785741989946</v>
      </c>
      <c r="L11" s="11">
        <f>L2*'Drivers &amp; Assumptons'!$C$27</f>
        <v>58.031696432586571</v>
      </c>
      <c r="M11" s="11">
        <f>M2*'Drivers &amp; Assumptons'!$C$27</f>
        <v>65.171305307402378</v>
      </c>
    </row>
    <row r="12" spans="1:13" x14ac:dyDescent="0.2">
      <c r="A12" t="s">
        <v>101</v>
      </c>
      <c r="B12" s="18">
        <f>11835/1000</f>
        <v>11.835000000000001</v>
      </c>
      <c r="C12" s="18">
        <f>20722/1000</f>
        <v>20.722000000000001</v>
      </c>
      <c r="D12" s="18">
        <f>27109/1000</f>
        <v>27.109000000000002</v>
      </c>
      <c r="E12" s="18">
        <f>16432/1000</f>
        <v>16.431999999999999</v>
      </c>
      <c r="F12" s="19">
        <f>F2*'Drivers &amp; Assumptons'!$C$28</f>
        <v>33.170022725339905</v>
      </c>
      <c r="G12" s="11">
        <f>G2*'Drivers &amp; Assumptons'!$C$28</f>
        <v>30.055670524499561</v>
      </c>
      <c r="H12" s="11">
        <f>H2*'Drivers &amp; Assumptons'!$C$28</f>
        <v>29.176860662546314</v>
      </c>
      <c r="I12" s="11">
        <f>I2*'Drivers &amp; Assumptons'!$C$28</f>
        <v>29.505523020492106</v>
      </c>
      <c r="J12" s="11">
        <f>J2*'Drivers &amp; Assumptons'!$C$28</f>
        <v>29.701888629469849</v>
      </c>
      <c r="K12" s="11">
        <f>K2*'Drivers &amp; Assumptons'!$C$28</f>
        <v>31.537749668630372</v>
      </c>
      <c r="L12" s="11">
        <f>L2*'Drivers &amp; Assumptons'!$C$28</f>
        <v>34.125718831375025</v>
      </c>
      <c r="M12" s="11">
        <f>M2*'Drivers &amp; Assumptons'!$C$28</f>
        <v>38.32418794404326</v>
      </c>
    </row>
    <row r="13" spans="1:13" x14ac:dyDescent="0.2">
      <c r="A13" t="s">
        <v>102</v>
      </c>
      <c r="B13" s="18">
        <f>78839/1000</f>
        <v>78.838999999999999</v>
      </c>
      <c r="C13" s="18">
        <f>36544/1000</f>
        <v>36.543999999999997</v>
      </c>
      <c r="D13" s="18">
        <f>17326/1000</f>
        <v>17.326000000000001</v>
      </c>
      <c r="E13" s="18">
        <f>11770/1000</f>
        <v>11.77</v>
      </c>
      <c r="F13" s="19">
        <f>F2*'Drivers &amp; Assumptons'!$C$24</f>
        <v>24.958632599954782</v>
      </c>
      <c r="G13" s="11">
        <f>G2*'Drivers &amp; Assumptons'!$C$24</f>
        <v>22.615252463882289</v>
      </c>
      <c r="H13" s="11">
        <f>H2*'Drivers &amp; Assumptons'!$C$24</f>
        <v>21.953995983857272</v>
      </c>
      <c r="I13" s="11">
        <f>I2*'Drivers &amp; Assumptons'!$C$24</f>
        <v>22.201296478925588</v>
      </c>
      <c r="J13" s="11">
        <f>J2*'Drivers &amp; Assumptons'!$C$24</f>
        <v>22.349050887486719</v>
      </c>
      <c r="K13" s="11">
        <f>K2*'Drivers &amp; Assumptons'!$C$24</f>
        <v>23.730436169022102</v>
      </c>
      <c r="L13" s="11">
        <f>L2*'Drivers &amp; Assumptons'!$C$24</f>
        <v>25.677741784330344</v>
      </c>
      <c r="M13" s="11">
        <f>M2*'Drivers &amp; Assumptons'!$C$24</f>
        <v>28.836860755487777</v>
      </c>
    </row>
    <row r="14" spans="1:13" x14ac:dyDescent="0.2">
      <c r="A14" t="s">
        <v>108</v>
      </c>
      <c r="B14" s="18">
        <f>57436/1000</f>
        <v>57.436</v>
      </c>
      <c r="C14" s="18">
        <f>-13488/1000</f>
        <v>-13.488</v>
      </c>
      <c r="D14" s="18">
        <f>-4251/1000</f>
        <v>-4.2510000000000003</v>
      </c>
      <c r="E14" s="18">
        <f>5577/1000</f>
        <v>5.577</v>
      </c>
      <c r="F14" s="19">
        <f>($B$14+$C$14+$D$14+$E$14)/4</f>
        <v>11.3185</v>
      </c>
      <c r="G14" s="11">
        <f t="shared" ref="G14:M14" si="11">($B$14+$C$14+$D$14+$E$14)/4</f>
        <v>11.3185</v>
      </c>
      <c r="H14" s="11">
        <f t="shared" si="11"/>
        <v>11.3185</v>
      </c>
      <c r="I14" s="11">
        <f t="shared" si="11"/>
        <v>11.3185</v>
      </c>
      <c r="J14" s="11">
        <f t="shared" si="11"/>
        <v>11.3185</v>
      </c>
      <c r="K14" s="11">
        <f t="shared" si="11"/>
        <v>11.3185</v>
      </c>
      <c r="L14" s="11">
        <f t="shared" si="11"/>
        <v>11.3185</v>
      </c>
      <c r="M14" s="11">
        <f t="shared" si="11"/>
        <v>11.3185</v>
      </c>
    </row>
    <row r="15" spans="1:13" x14ac:dyDescent="0.2">
      <c r="A15" t="s">
        <v>107</v>
      </c>
      <c r="B15" s="18">
        <v>0</v>
      </c>
      <c r="C15" s="18">
        <f>-21634/1000</f>
        <v>-21.634</v>
      </c>
      <c r="D15" s="18">
        <v>0</v>
      </c>
      <c r="E15" s="18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</row>
    <row r="16" spans="1:13" x14ac:dyDescent="0.2">
      <c r="A16" t="s">
        <v>103</v>
      </c>
      <c r="B16" s="18">
        <f>44194/1000</f>
        <v>44.194000000000003</v>
      </c>
      <c r="C16" s="18">
        <v>0</v>
      </c>
      <c r="D16" s="18">
        <v>0</v>
      </c>
      <c r="E16" s="18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</row>
    <row r="17" spans="1:13" x14ac:dyDescent="0.2">
      <c r="A17" t="s">
        <v>106</v>
      </c>
      <c r="B17" s="18">
        <f>SUM(B9:B16)</f>
        <v>500.81399999999996</v>
      </c>
      <c r="C17" s="18">
        <f t="shared" ref="C17:F17" si="12">SUM(C9:C16)</f>
        <v>453.21399999999994</v>
      </c>
      <c r="D17" s="18">
        <f t="shared" si="12"/>
        <v>491.73099999999999</v>
      </c>
      <c r="E17" s="18">
        <f t="shared" si="12"/>
        <v>714.70399999999995</v>
      </c>
      <c r="F17" s="11">
        <f t="shared" si="12"/>
        <v>751.44179111905896</v>
      </c>
      <c r="G17" s="11">
        <f t="shared" ref="G17" si="13">SUM(G9:G16)</f>
        <v>681.95119656396537</v>
      </c>
      <c r="H17" s="11">
        <f t="shared" ref="H17" si="14">SUM(H9:H16)</f>
        <v>662.34229690530344</v>
      </c>
      <c r="I17" s="11">
        <f t="shared" ref="I17" si="15">SUM(I9:I16)</f>
        <v>669.67574578605922</v>
      </c>
      <c r="J17" s="11">
        <f t="shared" ref="J17" si="16">SUM(J9:J16)</f>
        <v>674.05725501753102</v>
      </c>
      <c r="K17" s="11">
        <f t="shared" ref="K17" si="17">SUM(K9:K16)</f>
        <v>715.02085415618126</v>
      </c>
      <c r="L17" s="11">
        <f t="shared" ref="L17" si="18">SUM(L9:L16)</f>
        <v>772.76625487253193</v>
      </c>
      <c r="M17" s="11">
        <f t="shared" ref="M17" si="19">SUM(M9:M16)</f>
        <v>866.44676884323451</v>
      </c>
    </row>
    <row r="18" spans="1:13" x14ac:dyDescent="0.2">
      <c r="A18" s="23" t="s">
        <v>104</v>
      </c>
      <c r="B18" s="18">
        <f>500814/1000</f>
        <v>500.81400000000002</v>
      </c>
      <c r="C18" s="18">
        <f>453214/1000</f>
        <v>453.214</v>
      </c>
      <c r="D18" s="18">
        <f>491731/1000</f>
        <v>491.73099999999999</v>
      </c>
      <c r="E18" s="18">
        <f>714704/1000</f>
        <v>714.70399999999995</v>
      </c>
      <c r="F18" s="11">
        <f>SUM(F9:F16)</f>
        <v>751.44179111905896</v>
      </c>
      <c r="G18" s="11">
        <f t="shared" ref="G18:M18" si="20">SUM(G9:G16)</f>
        <v>681.95119656396537</v>
      </c>
      <c r="H18" s="11">
        <f t="shared" si="20"/>
        <v>662.34229690530344</v>
      </c>
      <c r="I18" s="11">
        <f t="shared" si="20"/>
        <v>669.67574578605922</v>
      </c>
      <c r="J18" s="11">
        <f t="shared" si="20"/>
        <v>674.05725501753102</v>
      </c>
      <c r="K18" s="11">
        <f t="shared" si="20"/>
        <v>715.02085415618126</v>
      </c>
      <c r="L18" s="11">
        <f t="shared" si="20"/>
        <v>772.76625487253193</v>
      </c>
      <c r="M18" s="11">
        <f t="shared" si="20"/>
        <v>866.44676884323451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FB184-257E-854A-A391-3EB5C7F20B01}">
  <dimension ref="A1:M52"/>
  <sheetViews>
    <sheetView zoomScale="115" workbookViewId="0">
      <pane ySplit="1" topLeftCell="A24" activePane="bottomLeft" state="frozen"/>
      <selection pane="bottomLeft" activeCell="B2" sqref="B2"/>
    </sheetView>
  </sheetViews>
  <sheetFormatPr baseColWidth="10" defaultRowHeight="16" x14ac:dyDescent="0.2"/>
  <cols>
    <col min="1" max="1" width="38.83203125" bestFit="1" customWidth="1"/>
    <col min="5" max="5" width="13.5" bestFit="1" customWidth="1"/>
  </cols>
  <sheetData>
    <row r="1" spans="1:13" x14ac:dyDescent="0.2">
      <c r="A1" s="36" t="s">
        <v>92</v>
      </c>
      <c r="B1" t="str">
        <f>'Drivers &amp; Assumptons'!C2 &amp; "A"</f>
        <v>2022A</v>
      </c>
      <c r="C1" t="str">
        <f>LEFT(B1,4) + 1 &amp; IF(LEFT(B1,4) + 1 &lt;= 2024, "A", "E")</f>
        <v>2023A</v>
      </c>
      <c r="D1" t="str">
        <f t="shared" ref="D1:M1" si="0">LEFT(C1,4) + 1 &amp; IF(LEFT(C1,4) + 1 &lt;= 2024, "A", "E")</f>
        <v>2024A</v>
      </c>
      <c r="E1" s="25" t="s">
        <v>55</v>
      </c>
      <c r="F1" t="str">
        <f>LEFT(D1,4) + 1 &amp; IF(LEFT(D1,4) + 1 &lt;= 2024, "A", "E")</f>
        <v>2025E</v>
      </c>
      <c r="G1" t="str">
        <f t="shared" si="0"/>
        <v>2026E</v>
      </c>
      <c r="H1" t="str">
        <f t="shared" si="0"/>
        <v>2027E</v>
      </c>
      <c r="I1" t="str">
        <f t="shared" si="0"/>
        <v>2028E</v>
      </c>
      <c r="J1" t="str">
        <f t="shared" si="0"/>
        <v>2029E</v>
      </c>
      <c r="K1" t="str">
        <f t="shared" si="0"/>
        <v>2030E</v>
      </c>
      <c r="L1" t="str">
        <f t="shared" si="0"/>
        <v>2031E</v>
      </c>
      <c r="M1" t="str">
        <f t="shared" si="0"/>
        <v>2032E</v>
      </c>
    </row>
    <row r="2" spans="1:13" x14ac:dyDescent="0.2">
      <c r="A2" s="23" t="s">
        <v>0</v>
      </c>
      <c r="B2" s="19">
        <f>'Revenue Build'!B29</f>
        <v>772.05200000000002</v>
      </c>
      <c r="C2" s="19">
        <f>'Revenue Build'!C29</f>
        <v>1450.4659999999999</v>
      </c>
      <c r="D2" s="19">
        <f>'Revenue Build'!D29</f>
        <v>1676.2529999999999</v>
      </c>
      <c r="E2" s="19">
        <f>'Revenue Build'!E29</f>
        <v>1236.6510000000001</v>
      </c>
      <c r="F2" s="19">
        <f>'Revenue Build'!F29</f>
        <v>2495.8632599954781</v>
      </c>
      <c r="G2" s="19">
        <f>'Revenue Build'!G29</f>
        <v>2261.5252463882289</v>
      </c>
      <c r="H2" s="19">
        <f>'Revenue Build'!H29</f>
        <v>2195.3995983857271</v>
      </c>
      <c r="I2" s="19">
        <f>'Revenue Build'!I29</f>
        <v>2220.1296478925588</v>
      </c>
      <c r="J2" s="19">
        <f>'Revenue Build'!J29</f>
        <v>2234.9050887486719</v>
      </c>
      <c r="K2" s="19">
        <f>'Revenue Build'!K29</f>
        <v>2373.04361690221</v>
      </c>
      <c r="L2" s="19">
        <f>'Revenue Build'!L29</f>
        <v>2567.7741784330342</v>
      </c>
      <c r="M2" s="19">
        <f>'Revenue Build'!M29</f>
        <v>2883.6860755487778</v>
      </c>
    </row>
    <row r="4" spans="1:13" x14ac:dyDescent="0.2">
      <c r="A4" s="8" t="s">
        <v>111</v>
      </c>
    </row>
    <row r="5" spans="1:13" x14ac:dyDescent="0.2">
      <c r="A5" t="s">
        <v>94</v>
      </c>
      <c r="B5" s="19">
        <f>'Expense Build'!B3</f>
        <v>286.95299999999997</v>
      </c>
      <c r="C5" s="19">
        <f>'Expense Build'!C3</f>
        <v>719.80600000000004</v>
      </c>
      <c r="D5" s="19">
        <f>'Expense Build'!D3</f>
        <v>1010.811</v>
      </c>
      <c r="E5" s="19">
        <f>'Expense Build'!E3</f>
        <v>753.78399999999999</v>
      </c>
      <c r="F5" s="19">
        <f>'Expense Build'!F3</f>
        <v>1521.3199128714823</v>
      </c>
      <c r="G5" s="19">
        <f>'Expense Build'!G3</f>
        <v>1378.4823255093836</v>
      </c>
      <c r="H5" s="19">
        <f>'Expense Build'!H3</f>
        <v>1338.1763253089084</v>
      </c>
      <c r="I5" s="19">
        <f>'Expense Build'!I3</f>
        <v>1353.2501946847126</v>
      </c>
      <c r="J5" s="19">
        <f>'Expense Build'!J3</f>
        <v>1362.2563661189204</v>
      </c>
      <c r="K5" s="19">
        <f>'Expense Build'!K3</f>
        <v>1446.4568497684597</v>
      </c>
      <c r="L5" s="19">
        <f>'Expense Build'!L3</f>
        <v>1565.1522469281683</v>
      </c>
      <c r="M5" s="19">
        <f>'Expense Build'!M3</f>
        <v>1757.7120988633494</v>
      </c>
    </row>
    <row r="6" spans="1:13" x14ac:dyDescent="0.2">
      <c r="A6" t="s">
        <v>95</v>
      </c>
      <c r="B6" s="19">
        <f>'Expense Build'!B4</f>
        <v>22.401</v>
      </c>
      <c r="C6" s="19">
        <f>'Expense Build'!C4</f>
        <v>7.9180000000000001</v>
      </c>
      <c r="D6" s="19">
        <f>'Expense Build'!D4</f>
        <v>6.5529999999999999</v>
      </c>
      <c r="E6" s="41">
        <f>'Expense Build'!E4</f>
        <v>0.80500000000000005</v>
      </c>
      <c r="F6" s="19">
        <f>'Expense Build'!F4</f>
        <v>1.6246862892573248</v>
      </c>
      <c r="G6" s="19">
        <f>'Expense Build'!G4</f>
        <v>1.4721435743330369</v>
      </c>
      <c r="H6" s="19">
        <f>'Expense Build'!H4</f>
        <v>1.4290989751356773</v>
      </c>
      <c r="I6" s="19">
        <f>'Expense Build'!I4</f>
        <v>1.4451970414882696</v>
      </c>
      <c r="J6" s="19">
        <f>'Expense Build'!J4</f>
        <v>1.4548151389864086</v>
      </c>
      <c r="K6" s="19">
        <f>'Expense Build'!K4</f>
        <v>1.5447366408196648</v>
      </c>
      <c r="L6" s="19">
        <f>'Expense Build'!L4</f>
        <v>1.6714968197483306</v>
      </c>
      <c r="M6" s="19">
        <f>'Expense Build'!M4</f>
        <v>1.8771401881507122</v>
      </c>
    </row>
    <row r="7" spans="1:13" x14ac:dyDescent="0.2">
      <c r="A7" s="23" t="s">
        <v>112</v>
      </c>
      <c r="B7" s="19">
        <f>'Expense Build'!B6</f>
        <v>309.35399999999998</v>
      </c>
      <c r="C7" s="19">
        <f>'Expense Build'!C6</f>
        <v>727.72400000000005</v>
      </c>
      <c r="D7" s="19">
        <f>'Expense Build'!D6</f>
        <v>1017.364</v>
      </c>
      <c r="E7" s="19">
        <f>'Expense Build'!E6</f>
        <v>754.58899999999994</v>
      </c>
      <c r="F7" s="19">
        <f>'Expense Build'!F6</f>
        <v>1522.9445991607397</v>
      </c>
      <c r="G7" s="19">
        <f>'Expense Build'!G6</f>
        <v>1379.9544690837167</v>
      </c>
      <c r="H7" s="19">
        <f>'Expense Build'!H6</f>
        <v>1339.6054242840441</v>
      </c>
      <c r="I7" s="19">
        <f>'Expense Build'!I6</f>
        <v>1354.6953917262008</v>
      </c>
      <c r="J7" s="19">
        <f>'Expense Build'!J6</f>
        <v>1363.7111812579067</v>
      </c>
      <c r="K7" s="19">
        <f>'Expense Build'!K6</f>
        <v>1448.0015864092793</v>
      </c>
      <c r="L7" s="19">
        <f>'Expense Build'!L6</f>
        <v>1566.8237437479168</v>
      </c>
      <c r="M7" s="19">
        <f>'Expense Build'!M6</f>
        <v>1759.5892390515</v>
      </c>
    </row>
    <row r="9" spans="1:13" x14ac:dyDescent="0.2">
      <c r="A9" s="8" t="s">
        <v>113</v>
      </c>
    </row>
    <row r="10" spans="1:13" x14ac:dyDescent="0.2">
      <c r="A10" s="23" t="s">
        <v>113</v>
      </c>
      <c r="B10" s="11">
        <f>B2-B7</f>
        <v>462.69800000000004</v>
      </c>
      <c r="C10" s="11">
        <f t="shared" ref="C10:M10" si="1">C2-C7</f>
        <v>722.74199999999985</v>
      </c>
      <c r="D10" s="11">
        <f t="shared" si="1"/>
        <v>658.8889999999999</v>
      </c>
      <c r="E10" s="11">
        <f t="shared" si="1"/>
        <v>482.06200000000013</v>
      </c>
      <c r="F10" s="11">
        <f t="shared" si="1"/>
        <v>972.91866083473838</v>
      </c>
      <c r="G10" s="11">
        <f t="shared" si="1"/>
        <v>881.57077730451215</v>
      </c>
      <c r="H10" s="11">
        <f t="shared" si="1"/>
        <v>855.79417410168298</v>
      </c>
      <c r="I10" s="11">
        <f t="shared" si="1"/>
        <v>865.43425616635795</v>
      </c>
      <c r="J10" s="11">
        <f t="shared" si="1"/>
        <v>871.19390749076524</v>
      </c>
      <c r="K10" s="11">
        <f t="shared" si="1"/>
        <v>925.04203049293073</v>
      </c>
      <c r="L10" s="11">
        <f t="shared" si="1"/>
        <v>1000.9504346851174</v>
      </c>
      <c r="M10" s="11">
        <f t="shared" si="1"/>
        <v>1124.0968364972778</v>
      </c>
    </row>
    <row r="11" spans="1:13" x14ac:dyDescent="0.2">
      <c r="A11" s="36" t="s">
        <v>114</v>
      </c>
      <c r="B11" s="17">
        <f>B10/B2</f>
        <v>0.59930937294379139</v>
      </c>
      <c r="C11" s="17">
        <f t="shared" ref="C11:M11" si="2">C10/C2</f>
        <v>0.49828262089562936</v>
      </c>
      <c r="D11" s="17">
        <f t="shared" si="2"/>
        <v>0.39307252544812743</v>
      </c>
      <c r="E11" s="17">
        <f t="shared" si="2"/>
        <v>0.38981248549509934</v>
      </c>
      <c r="F11" s="17">
        <f t="shared" si="2"/>
        <v>0.38981248549509923</v>
      </c>
      <c r="G11" s="17">
        <f t="shared" si="2"/>
        <v>0.38981248549509923</v>
      </c>
      <c r="H11" s="17">
        <f t="shared" si="2"/>
        <v>0.38981248549509923</v>
      </c>
      <c r="I11" s="17">
        <f t="shared" si="2"/>
        <v>0.38981248549509928</v>
      </c>
      <c r="J11" s="17">
        <f t="shared" si="2"/>
        <v>0.38981248549509928</v>
      </c>
      <c r="K11" s="17">
        <f t="shared" si="2"/>
        <v>0.38981248549509928</v>
      </c>
      <c r="L11" s="17">
        <f t="shared" si="2"/>
        <v>0.38981248549509923</v>
      </c>
      <c r="M11" s="17">
        <f t="shared" si="2"/>
        <v>0.38981248549509928</v>
      </c>
    </row>
    <row r="13" spans="1:13" x14ac:dyDescent="0.2">
      <c r="A13" s="8" t="s">
        <v>115</v>
      </c>
    </row>
    <row r="14" spans="1:13" x14ac:dyDescent="0.2">
      <c r="A14" t="s">
        <v>98</v>
      </c>
      <c r="B14" s="19">
        <f>'Expense Build'!B9</f>
        <v>212.96100000000001</v>
      </c>
      <c r="C14" s="19">
        <f>'Expense Build'!C9</f>
        <v>296.05500000000001</v>
      </c>
      <c r="D14" s="19">
        <f>'Expense Build'!D9</f>
        <v>263.41000000000003</v>
      </c>
      <c r="E14" s="19">
        <f>'Expense Build'!E9</f>
        <v>579.01199999999994</v>
      </c>
      <c r="F14" s="19">
        <f>'Expense Build'!F9</f>
        <v>475.83633051813786</v>
      </c>
      <c r="G14" s="19">
        <f>'Expense Build'!G9</f>
        <v>431.15978822391583</v>
      </c>
      <c r="H14" s="19">
        <f>'Expense Build'!H9</f>
        <v>418.55293343223883</v>
      </c>
      <c r="I14" s="19">
        <f>'Expense Build'!I9</f>
        <v>423.2677173707163</v>
      </c>
      <c r="J14" s="19">
        <f>'Expense Build'!J9</f>
        <v>426.08465516993425</v>
      </c>
      <c r="K14" s="19">
        <f>'Expense Build'!K9</f>
        <v>452.4207655624063</v>
      </c>
      <c r="L14" s="19">
        <f>'Expense Build'!L9</f>
        <v>489.54614711825792</v>
      </c>
      <c r="M14" s="19">
        <f>'Expense Build'!M9</f>
        <v>549.7747503033745</v>
      </c>
    </row>
    <row r="15" spans="1:13" x14ac:dyDescent="0.2">
      <c r="A15" t="s">
        <v>116</v>
      </c>
      <c r="B15" s="19">
        <f>'Expense Build'!B10</f>
        <v>82.272000000000006</v>
      </c>
      <c r="C15" s="19">
        <f>'Expense Build'!C10</f>
        <v>100.128</v>
      </c>
      <c r="D15" s="19">
        <f>'Expense Build'!D10</f>
        <v>137.28299999999999</v>
      </c>
      <c r="E15" s="19">
        <f>'Expense Build'!E10</f>
        <v>73.823999999999998</v>
      </c>
      <c r="F15" s="19">
        <f>'Expense Build'!F10</f>
        <v>149.75179559972867</v>
      </c>
      <c r="G15" s="19">
        <f>'Expense Build'!G10</f>
        <v>135.69151478329374</v>
      </c>
      <c r="H15" s="19">
        <f>'Expense Build'!H10</f>
        <v>131.72397590314361</v>
      </c>
      <c r="I15" s="19">
        <f>'Expense Build'!I10</f>
        <v>133.20777887355351</v>
      </c>
      <c r="J15" s="19">
        <f>'Expense Build'!J10</f>
        <v>134.0943053249203</v>
      </c>
      <c r="K15" s="19">
        <f>'Expense Build'!K10</f>
        <v>142.38261701413259</v>
      </c>
      <c r="L15" s="19">
        <f>'Expense Build'!L10</f>
        <v>154.06645070598205</v>
      </c>
      <c r="M15" s="19">
        <f>'Expense Build'!M10</f>
        <v>173.02116453292666</v>
      </c>
    </row>
    <row r="16" spans="1:13" x14ac:dyDescent="0.2">
      <c r="A16" t="s">
        <v>117</v>
      </c>
      <c r="B16" s="19">
        <f>'Expense Build'!B11</f>
        <v>13.276999999999999</v>
      </c>
      <c r="C16" s="19">
        <f>'Expense Build'!C11</f>
        <v>34.887</v>
      </c>
      <c r="D16" s="19">
        <f>'Expense Build'!D11</f>
        <v>50.853999999999999</v>
      </c>
      <c r="E16" s="19">
        <f>'Expense Build'!E11</f>
        <v>28.088999999999999</v>
      </c>
      <c r="F16" s="19">
        <f>'Expense Build'!F11</f>
        <v>56.406509675897802</v>
      </c>
      <c r="G16" s="19">
        <f>'Expense Build'!G11</f>
        <v>51.11047056837397</v>
      </c>
      <c r="H16" s="19">
        <f>'Expense Build'!H11</f>
        <v>49.616030923517428</v>
      </c>
      <c r="I16" s="19">
        <f>'Expense Build'!I11</f>
        <v>50.174930042371827</v>
      </c>
      <c r="J16" s="19">
        <f>'Expense Build'!J11</f>
        <v>50.50885500571998</v>
      </c>
      <c r="K16" s="19">
        <f>'Expense Build'!K11</f>
        <v>53.630785741989946</v>
      </c>
      <c r="L16" s="19">
        <f>'Expense Build'!L11</f>
        <v>58.031696432586571</v>
      </c>
      <c r="M16" s="19">
        <f>'Expense Build'!M11</f>
        <v>65.171305307402378</v>
      </c>
    </row>
    <row r="17" spans="1:13" x14ac:dyDescent="0.2">
      <c r="A17" t="s">
        <v>101</v>
      </c>
      <c r="B17" s="19">
        <f>'Expense Build'!B12</f>
        <v>11.835000000000001</v>
      </c>
      <c r="C17" s="19">
        <f>'Expense Build'!C12</f>
        <v>20.722000000000001</v>
      </c>
      <c r="D17" s="19">
        <f>'Expense Build'!D12</f>
        <v>27.109000000000002</v>
      </c>
      <c r="E17" s="19">
        <f>'Expense Build'!E12</f>
        <v>16.431999999999999</v>
      </c>
      <c r="F17" s="19">
        <f>'Expense Build'!F12</f>
        <v>33.170022725339905</v>
      </c>
      <c r="G17" s="19">
        <f>'Expense Build'!G12</f>
        <v>30.055670524499561</v>
      </c>
      <c r="H17" s="19">
        <f>'Expense Build'!H12</f>
        <v>29.176860662546314</v>
      </c>
      <c r="I17" s="19">
        <f>'Expense Build'!I12</f>
        <v>29.505523020492106</v>
      </c>
      <c r="J17" s="19">
        <f>'Expense Build'!J12</f>
        <v>29.701888629469849</v>
      </c>
      <c r="K17" s="19">
        <f>'Expense Build'!K12</f>
        <v>31.537749668630372</v>
      </c>
      <c r="L17" s="19">
        <f>'Expense Build'!L12</f>
        <v>34.125718831375025</v>
      </c>
      <c r="M17" s="19">
        <f>'Expense Build'!M12</f>
        <v>38.32418794404326</v>
      </c>
    </row>
    <row r="18" spans="1:13" x14ac:dyDescent="0.2">
      <c r="A18" t="s">
        <v>102</v>
      </c>
      <c r="B18" s="19">
        <f>'Expense Build'!B13</f>
        <v>78.838999999999999</v>
      </c>
      <c r="C18" s="19">
        <f>'Expense Build'!C13</f>
        <v>36.543999999999997</v>
      </c>
      <c r="D18" s="19">
        <f>'Expense Build'!D13</f>
        <v>17.326000000000001</v>
      </c>
      <c r="E18" s="19">
        <f>'Expense Build'!E13</f>
        <v>11.77</v>
      </c>
      <c r="F18" s="19">
        <f>'Expense Build'!F13</f>
        <v>24.958632599954782</v>
      </c>
      <c r="G18" s="19">
        <f>'Expense Build'!G13</f>
        <v>22.615252463882289</v>
      </c>
      <c r="H18" s="19">
        <f>'Expense Build'!H13</f>
        <v>21.953995983857272</v>
      </c>
      <c r="I18" s="19">
        <f>'Expense Build'!I13</f>
        <v>22.201296478925588</v>
      </c>
      <c r="J18" s="19">
        <f>'Expense Build'!J13</f>
        <v>22.349050887486719</v>
      </c>
      <c r="K18" s="19">
        <f>'Expense Build'!K13</f>
        <v>23.730436169022102</v>
      </c>
      <c r="L18" s="19">
        <f>'Expense Build'!L13</f>
        <v>25.677741784330344</v>
      </c>
      <c r="M18" s="19">
        <f>'Expense Build'!M13</f>
        <v>28.836860755487777</v>
      </c>
    </row>
    <row r="19" spans="1:13" x14ac:dyDescent="0.2">
      <c r="A19" t="s">
        <v>118</v>
      </c>
      <c r="B19" s="19">
        <f>'Expense Build'!B14</f>
        <v>57.436</v>
      </c>
      <c r="C19" s="19">
        <f>'Expense Build'!C14</f>
        <v>-13.488</v>
      </c>
      <c r="D19" s="19">
        <f>'Expense Build'!D14</f>
        <v>-4.2510000000000003</v>
      </c>
      <c r="E19" s="19">
        <f>'Expense Build'!E14</f>
        <v>5.577</v>
      </c>
      <c r="F19" s="19">
        <f>'Expense Build'!F14</f>
        <v>11.3185</v>
      </c>
      <c r="G19" s="19">
        <f>'Expense Build'!G14</f>
        <v>11.3185</v>
      </c>
      <c r="H19" s="19">
        <f>'Expense Build'!H14</f>
        <v>11.3185</v>
      </c>
      <c r="I19" s="19">
        <f>'Expense Build'!I14</f>
        <v>11.3185</v>
      </c>
      <c r="J19" s="19">
        <f>'Expense Build'!J14</f>
        <v>11.3185</v>
      </c>
      <c r="K19" s="19">
        <f>'Expense Build'!K14</f>
        <v>11.3185</v>
      </c>
      <c r="L19" s="19">
        <f>'Expense Build'!L14</f>
        <v>11.3185</v>
      </c>
      <c r="M19" s="19">
        <f>'Expense Build'!M14</f>
        <v>11.3185</v>
      </c>
    </row>
    <row r="20" spans="1:13" x14ac:dyDescent="0.2">
      <c r="A20" t="s">
        <v>119</v>
      </c>
      <c r="B20" s="19">
        <f>'Expense Build'!B15</f>
        <v>0</v>
      </c>
      <c r="C20" s="19">
        <f>'Expense Build'!C15</f>
        <v>-21.634</v>
      </c>
      <c r="D20" s="19">
        <f>'Expense Build'!D15</f>
        <v>0</v>
      </c>
      <c r="E20" s="19">
        <f>'Expense Build'!E15</f>
        <v>0</v>
      </c>
      <c r="F20" s="19">
        <f>'Expense Build'!F15</f>
        <v>0</v>
      </c>
      <c r="G20" s="19">
        <f>'Expense Build'!G15</f>
        <v>0</v>
      </c>
      <c r="H20" s="19">
        <f>'Expense Build'!H15</f>
        <v>0</v>
      </c>
      <c r="I20" s="19">
        <f>'Expense Build'!I15</f>
        <v>0</v>
      </c>
      <c r="J20" s="19">
        <f>'Expense Build'!J15</f>
        <v>0</v>
      </c>
      <c r="K20" s="19">
        <f>'Expense Build'!K15</f>
        <v>0</v>
      </c>
      <c r="L20" s="19">
        <f>'Expense Build'!L15</f>
        <v>0</v>
      </c>
      <c r="M20" s="19">
        <f>'Expense Build'!M15</f>
        <v>0</v>
      </c>
    </row>
    <row r="21" spans="1:13" x14ac:dyDescent="0.2">
      <c r="A21" t="s">
        <v>103</v>
      </c>
      <c r="B21" s="19">
        <f>'Expense Build'!B16</f>
        <v>44.194000000000003</v>
      </c>
      <c r="C21" s="19">
        <f>'Expense Build'!C16</f>
        <v>0</v>
      </c>
      <c r="D21" s="19">
        <f>'Expense Build'!D16</f>
        <v>0</v>
      </c>
      <c r="E21" s="19">
        <f>'Expense Build'!E16</f>
        <v>0</v>
      </c>
      <c r="F21" s="19">
        <f>'Expense Build'!F16</f>
        <v>0</v>
      </c>
      <c r="G21" s="19">
        <f>'Expense Build'!G16</f>
        <v>0</v>
      </c>
      <c r="H21" s="19">
        <f>'Expense Build'!H16</f>
        <v>0</v>
      </c>
      <c r="I21" s="19">
        <f>'Expense Build'!I16</f>
        <v>0</v>
      </c>
      <c r="J21" s="19">
        <f>'Expense Build'!J16</f>
        <v>0</v>
      </c>
      <c r="K21" s="19">
        <f>'Expense Build'!K16</f>
        <v>0</v>
      </c>
      <c r="L21" s="19">
        <f>'Expense Build'!L16</f>
        <v>0</v>
      </c>
      <c r="M21" s="19">
        <f>'Expense Build'!M16</f>
        <v>0</v>
      </c>
    </row>
    <row r="22" spans="1:13" x14ac:dyDescent="0.2">
      <c r="A22" s="23" t="s">
        <v>104</v>
      </c>
      <c r="B22" s="19">
        <f>'Expense Build'!B18</f>
        <v>500.81400000000002</v>
      </c>
      <c r="C22" s="19">
        <f>'Expense Build'!C18</f>
        <v>453.214</v>
      </c>
      <c r="D22" s="19">
        <f>'Expense Build'!D18</f>
        <v>491.73099999999999</v>
      </c>
      <c r="E22" s="19">
        <f>'Expense Build'!E18</f>
        <v>714.70399999999995</v>
      </c>
      <c r="F22" s="19">
        <f>'Expense Build'!F18</f>
        <v>751.44179111905896</v>
      </c>
      <c r="G22" s="19">
        <f>'Expense Build'!G18</f>
        <v>681.95119656396537</v>
      </c>
      <c r="H22" s="19">
        <f>'Expense Build'!H18</f>
        <v>662.34229690530344</v>
      </c>
      <c r="I22" s="19">
        <f>'Expense Build'!I18</f>
        <v>669.67574578605922</v>
      </c>
      <c r="J22" s="19">
        <f>'Expense Build'!J18</f>
        <v>674.05725501753102</v>
      </c>
      <c r="K22" s="19">
        <f>'Expense Build'!K18</f>
        <v>715.02085415618126</v>
      </c>
      <c r="L22" s="19">
        <f>'Expense Build'!L18</f>
        <v>772.76625487253193</v>
      </c>
      <c r="M22" s="19">
        <f>'Expense Build'!M18</f>
        <v>866.44676884323451</v>
      </c>
    </row>
    <row r="24" spans="1:13" x14ac:dyDescent="0.2">
      <c r="A24" s="8" t="s">
        <v>124</v>
      </c>
    </row>
    <row r="25" spans="1:13" x14ac:dyDescent="0.2">
      <c r="A25" s="43" t="s">
        <v>133</v>
      </c>
      <c r="B25" s="11">
        <f t="shared" ref="B25:M25" si="3">B10-B22</f>
        <v>-38.115999999999985</v>
      </c>
      <c r="C25" s="11">
        <f t="shared" si="3"/>
        <v>269.52799999999985</v>
      </c>
      <c r="D25" s="11">
        <f t="shared" si="3"/>
        <v>167.1579999999999</v>
      </c>
      <c r="E25" s="11">
        <f t="shared" si="3"/>
        <v>-232.64199999999983</v>
      </c>
      <c r="F25" s="11">
        <f t="shared" si="3"/>
        <v>221.47686971567941</v>
      </c>
      <c r="G25" s="11">
        <f t="shared" si="3"/>
        <v>199.61958074054678</v>
      </c>
      <c r="H25" s="11">
        <f t="shared" si="3"/>
        <v>193.45187719637954</v>
      </c>
      <c r="I25" s="11">
        <f t="shared" si="3"/>
        <v>195.75851038029873</v>
      </c>
      <c r="J25" s="11">
        <f t="shared" si="3"/>
        <v>197.13665247323422</v>
      </c>
      <c r="K25" s="11">
        <f t="shared" si="3"/>
        <v>210.02117633674948</v>
      </c>
      <c r="L25" s="11">
        <f t="shared" si="3"/>
        <v>228.18417981258551</v>
      </c>
      <c r="M25" s="11">
        <f t="shared" si="3"/>
        <v>257.65006765404326</v>
      </c>
    </row>
    <row r="26" spans="1:13" x14ac:dyDescent="0.2">
      <c r="A26" s="23" t="s">
        <v>125</v>
      </c>
      <c r="B26" s="18">
        <f>-38116/1000</f>
        <v>-38.116</v>
      </c>
      <c r="C26" s="18">
        <f>269528/1000</f>
        <v>269.52800000000002</v>
      </c>
      <c r="D26" s="18">
        <f>167158/1000</f>
        <v>167.15799999999999</v>
      </c>
      <c r="E26" s="18">
        <f>-232642/1000</f>
        <v>-232.642</v>
      </c>
      <c r="F26" s="11">
        <f>F10-F22</f>
        <v>221.47686971567941</v>
      </c>
      <c r="G26" s="11">
        <f t="shared" ref="G26:M26" si="4">G10-G22</f>
        <v>199.61958074054678</v>
      </c>
      <c r="H26" s="11">
        <f t="shared" si="4"/>
        <v>193.45187719637954</v>
      </c>
      <c r="I26" s="11">
        <f t="shared" si="4"/>
        <v>195.75851038029873</v>
      </c>
      <c r="J26" s="11">
        <f t="shared" si="4"/>
        <v>197.13665247323422</v>
      </c>
      <c r="K26" s="11">
        <f t="shared" si="4"/>
        <v>210.02117633674948</v>
      </c>
      <c r="L26" s="11">
        <f t="shared" si="4"/>
        <v>228.18417981258551</v>
      </c>
      <c r="M26" s="11">
        <f t="shared" si="4"/>
        <v>257.65006765404326</v>
      </c>
    </row>
    <row r="27" spans="1:13" x14ac:dyDescent="0.2">
      <c r="A27" s="42" t="s">
        <v>126</v>
      </c>
      <c r="B27" s="14">
        <f t="shared" ref="B27:M27" si="5">B25/B2</f>
        <v>-4.9369731572484733E-2</v>
      </c>
      <c r="C27" s="14">
        <f t="shared" si="5"/>
        <v>0.18582166007338322</v>
      </c>
      <c r="D27" s="14">
        <f t="shared" si="5"/>
        <v>9.972122346686324E-2</v>
      </c>
      <c r="E27" s="14">
        <f t="shared" si="5"/>
        <v>-0.18812259885772123</v>
      </c>
      <c r="F27" s="14">
        <f t="shared" si="5"/>
        <v>8.8737581607768318E-2</v>
      </c>
      <c r="G27" s="14">
        <f t="shared" si="5"/>
        <v>8.8267677338269568E-2</v>
      </c>
      <c r="H27" s="14">
        <f t="shared" si="5"/>
        <v>8.8116932033067835E-2</v>
      </c>
      <c r="I27" s="14">
        <f t="shared" si="5"/>
        <v>8.8174359801969679E-2</v>
      </c>
      <c r="J27" s="14">
        <f t="shared" si="5"/>
        <v>8.8208064613433515E-2</v>
      </c>
      <c r="K27" s="14">
        <f t="shared" si="5"/>
        <v>8.8502872362250462E-2</v>
      </c>
      <c r="L27" s="14">
        <f t="shared" si="5"/>
        <v>8.8864582302106199E-2</v>
      </c>
      <c r="M27" s="14">
        <f t="shared" si="5"/>
        <v>8.9347474344970562E-2</v>
      </c>
    </row>
    <row r="28" spans="1:13" x14ac:dyDescent="0.2">
      <c r="A28" s="42"/>
    </row>
    <row r="29" spans="1:13" x14ac:dyDescent="0.2">
      <c r="A29" s="9" t="s">
        <v>132</v>
      </c>
    </row>
    <row r="30" spans="1:13" x14ac:dyDescent="0.2">
      <c r="A30" t="s">
        <v>130</v>
      </c>
      <c r="B30" s="11">
        <f>AVERAGE((D30/D33),(E30/E33))*B33</f>
        <v>-183.11498123548546</v>
      </c>
      <c r="C30" s="11">
        <f>AVERAGE((D30/D33),(E30/E33))*C33</f>
        <v>12.56220630633408</v>
      </c>
      <c r="D30" s="11">
        <f>(33626/1000)</f>
        <v>33.625999999999998</v>
      </c>
      <c r="E30" s="18">
        <f>17917/1000</f>
        <v>17.917000000000002</v>
      </c>
      <c r="F30" s="11">
        <f>E30*2</f>
        <v>35.834000000000003</v>
      </c>
      <c r="G30" s="11">
        <f>F30</f>
        <v>35.834000000000003</v>
      </c>
      <c r="H30" s="11">
        <f t="shared" ref="H30:M30" si="6">G30</f>
        <v>35.834000000000003</v>
      </c>
      <c r="I30" s="11">
        <f t="shared" si="6"/>
        <v>35.834000000000003</v>
      </c>
      <c r="J30" s="11">
        <f t="shared" si="6"/>
        <v>35.834000000000003</v>
      </c>
      <c r="K30" s="11">
        <f t="shared" si="6"/>
        <v>35.834000000000003</v>
      </c>
      <c r="L30" s="11">
        <f t="shared" si="6"/>
        <v>35.834000000000003</v>
      </c>
      <c r="M30" s="11">
        <f t="shared" si="6"/>
        <v>35.834000000000003</v>
      </c>
    </row>
    <row r="31" spans="1:13" x14ac:dyDescent="0.2">
      <c r="A31" t="s">
        <v>131</v>
      </c>
      <c r="B31" s="11">
        <f>AVERAGE((D31/D33),(E31/E33))*B33</f>
        <v>11.756220920287618</v>
      </c>
      <c r="C31" s="11">
        <f>AVERAGE((D31/D33),(E31/E33))*C33</f>
        <v>-0.80651004951676974</v>
      </c>
      <c r="D31" s="11">
        <f>-2002/1000</f>
        <v>-2.0019999999999998</v>
      </c>
      <c r="E31" s="18">
        <f>-679/1000</f>
        <v>-0.67900000000000005</v>
      </c>
      <c r="F31" s="11">
        <f t="shared" ref="F31" si="7">E31*2</f>
        <v>-1.3580000000000001</v>
      </c>
      <c r="G31" s="11">
        <f>F31</f>
        <v>-1.3580000000000001</v>
      </c>
      <c r="H31" s="11">
        <f t="shared" ref="H31:M31" si="8">G31</f>
        <v>-1.3580000000000001</v>
      </c>
      <c r="I31" s="11">
        <f t="shared" si="8"/>
        <v>-1.3580000000000001</v>
      </c>
      <c r="J31" s="11">
        <f t="shared" si="8"/>
        <v>-1.3580000000000001</v>
      </c>
      <c r="K31" s="11">
        <f t="shared" si="8"/>
        <v>-1.3580000000000001</v>
      </c>
      <c r="L31" s="11">
        <f t="shared" si="8"/>
        <v>-1.3580000000000001</v>
      </c>
      <c r="M31" s="11">
        <f t="shared" si="8"/>
        <v>-1.3580000000000001</v>
      </c>
    </row>
    <row r="32" spans="1:13" x14ac:dyDescent="0.2">
      <c r="A32" t="s">
        <v>136</v>
      </c>
      <c r="B32" s="11">
        <f>AVERAGE((D32/D33),(E32/E33))*B33</f>
        <v>-549.03423968480217</v>
      </c>
      <c r="C32" s="11">
        <f>AVERAGE((D32/D33),(E32/E33))*C33</f>
        <v>37.66530374318269</v>
      </c>
      <c r="D32" s="11">
        <f>D33-(D30+D31)</f>
        <v>22.791999999999998</v>
      </c>
      <c r="E32" s="18">
        <f>E33-(E30+E31)</f>
        <v>-180.762</v>
      </c>
      <c r="F32" s="11">
        <f>E32/2</f>
        <v>-90.381</v>
      </c>
      <c r="G32" s="11">
        <f>F32</f>
        <v>-90.381</v>
      </c>
      <c r="H32" s="11">
        <f t="shared" ref="H32:M32" si="9">G32</f>
        <v>-90.381</v>
      </c>
      <c r="I32" s="11">
        <f t="shared" si="9"/>
        <v>-90.381</v>
      </c>
      <c r="J32" s="11">
        <f t="shared" si="9"/>
        <v>-90.381</v>
      </c>
      <c r="K32" s="11">
        <f t="shared" si="9"/>
        <v>-90.381</v>
      </c>
      <c r="L32" s="11">
        <f t="shared" si="9"/>
        <v>-90.381</v>
      </c>
      <c r="M32" s="11">
        <f t="shared" si="9"/>
        <v>-90.381</v>
      </c>
    </row>
    <row r="33" spans="1:13" x14ac:dyDescent="0.2">
      <c r="A33" s="23" t="s">
        <v>137</v>
      </c>
      <c r="B33" s="18">
        <f>-720393/1000</f>
        <v>-720.39300000000003</v>
      </c>
      <c r="C33" s="18">
        <f>49421/1000</f>
        <v>49.420999999999999</v>
      </c>
      <c r="D33" s="18">
        <f>54416/1000</f>
        <v>54.415999999999997</v>
      </c>
      <c r="E33" s="18">
        <f>-163524/1000</f>
        <v>-163.524</v>
      </c>
      <c r="F33" s="11">
        <f>F30+F31+F32</f>
        <v>-55.904999999999994</v>
      </c>
      <c r="G33" s="11">
        <f>F33</f>
        <v>-55.904999999999994</v>
      </c>
      <c r="H33" s="11">
        <f t="shared" ref="H33:M33" si="10">G33</f>
        <v>-55.904999999999994</v>
      </c>
      <c r="I33" s="11">
        <f t="shared" si="10"/>
        <v>-55.904999999999994</v>
      </c>
      <c r="J33" s="11">
        <f t="shared" si="10"/>
        <v>-55.904999999999994</v>
      </c>
      <c r="K33" s="11">
        <f t="shared" si="10"/>
        <v>-55.904999999999994</v>
      </c>
      <c r="L33" s="11">
        <f t="shared" si="10"/>
        <v>-55.904999999999994</v>
      </c>
      <c r="M33" s="11">
        <f t="shared" si="10"/>
        <v>-55.904999999999994</v>
      </c>
    </row>
    <row r="35" spans="1:13" x14ac:dyDescent="0.2">
      <c r="A35" s="9" t="s">
        <v>120</v>
      </c>
    </row>
    <row r="36" spans="1:13" x14ac:dyDescent="0.2">
      <c r="A36" s="33" t="s">
        <v>135</v>
      </c>
      <c r="B36" s="11">
        <f>B26+B33</f>
        <v>-758.50900000000001</v>
      </c>
      <c r="C36" s="11">
        <f t="shared" ref="C36:E36" si="11">C26+C33</f>
        <v>318.94900000000001</v>
      </c>
      <c r="D36" s="11">
        <f t="shared" si="11"/>
        <v>221.57399999999998</v>
      </c>
      <c r="E36" s="11">
        <f t="shared" si="11"/>
        <v>-396.166</v>
      </c>
      <c r="F36" s="11">
        <f>F25+F33</f>
        <v>165.57186971567941</v>
      </c>
      <c r="G36" s="11">
        <f t="shared" ref="G36:M36" si="12">G25+G33</f>
        <v>143.71458074054678</v>
      </c>
      <c r="H36" s="11">
        <f t="shared" si="12"/>
        <v>137.54687719637954</v>
      </c>
      <c r="I36" s="11">
        <f t="shared" si="12"/>
        <v>139.85351038029873</v>
      </c>
      <c r="J36" s="11">
        <f t="shared" si="12"/>
        <v>141.23165247323422</v>
      </c>
      <c r="K36" s="11">
        <f t="shared" si="12"/>
        <v>154.11617633674948</v>
      </c>
      <c r="L36" s="11">
        <f t="shared" si="12"/>
        <v>172.27917981258551</v>
      </c>
      <c r="M36" s="11">
        <f t="shared" si="12"/>
        <v>201.74506765404325</v>
      </c>
    </row>
    <row r="37" spans="1:13" x14ac:dyDescent="0.2">
      <c r="A37" s="23" t="s">
        <v>129</v>
      </c>
      <c r="B37" s="18">
        <f>-758509/1000</f>
        <v>-758.50900000000001</v>
      </c>
      <c r="C37" s="18">
        <f>318949/1000</f>
        <v>318.94900000000001</v>
      </c>
      <c r="D37" s="18">
        <f>221574/1000</f>
        <v>221.57400000000001</v>
      </c>
      <c r="E37" s="18">
        <f>-396166/1000</f>
        <v>-396.166</v>
      </c>
      <c r="F37" s="11">
        <f>F26+F33</f>
        <v>165.57186971567941</v>
      </c>
      <c r="G37" s="11">
        <f t="shared" ref="G37:M37" si="13">G26+G33</f>
        <v>143.71458074054678</v>
      </c>
      <c r="H37" s="11">
        <f t="shared" si="13"/>
        <v>137.54687719637954</v>
      </c>
      <c r="I37" s="11">
        <f t="shared" si="13"/>
        <v>139.85351038029873</v>
      </c>
      <c r="J37" s="11">
        <f t="shared" si="13"/>
        <v>141.23165247323422</v>
      </c>
      <c r="K37" s="11">
        <f t="shared" si="13"/>
        <v>154.11617633674948</v>
      </c>
      <c r="L37" s="11">
        <f t="shared" si="13"/>
        <v>172.27917981258551</v>
      </c>
      <c r="M37" s="11">
        <f t="shared" si="13"/>
        <v>201.74506765404325</v>
      </c>
    </row>
    <row r="38" spans="1:13" x14ac:dyDescent="0.2">
      <c r="A38" s="23"/>
    </row>
    <row r="39" spans="1:13" x14ac:dyDescent="0.2">
      <c r="A39" s="8" t="s">
        <v>122</v>
      </c>
    </row>
    <row r="40" spans="1:13" x14ac:dyDescent="0.2">
      <c r="A40" t="s">
        <v>121</v>
      </c>
      <c r="B40" s="18">
        <f>3263/1000</f>
        <v>3.2629999999999999</v>
      </c>
      <c r="C40" s="18">
        <f>47400/1000</f>
        <v>47.4</v>
      </c>
      <c r="D40" s="18">
        <f>64583/1000</f>
        <v>64.582999999999998</v>
      </c>
      <c r="E40" s="18">
        <f>21143/1000</f>
        <v>21.143000000000001</v>
      </c>
      <c r="F40" s="11">
        <f>E40*2</f>
        <v>42.286000000000001</v>
      </c>
      <c r="G40" s="11">
        <f>F40</f>
        <v>42.286000000000001</v>
      </c>
      <c r="H40" s="11">
        <f t="shared" ref="H40:M40" si="14">G40</f>
        <v>42.286000000000001</v>
      </c>
      <c r="I40" s="11">
        <f t="shared" si="14"/>
        <v>42.286000000000001</v>
      </c>
      <c r="J40" s="11">
        <f t="shared" si="14"/>
        <v>42.286000000000001</v>
      </c>
      <c r="K40" s="11">
        <f t="shared" si="14"/>
        <v>42.286000000000001</v>
      </c>
      <c r="L40" s="11">
        <f t="shared" si="14"/>
        <v>42.286000000000001</v>
      </c>
      <c r="M40" s="11">
        <f t="shared" si="14"/>
        <v>42.286000000000001</v>
      </c>
    </row>
    <row r="42" spans="1:13" x14ac:dyDescent="0.2">
      <c r="A42" s="9" t="s">
        <v>128</v>
      </c>
    </row>
    <row r="43" spans="1:13" x14ac:dyDescent="0.2">
      <c r="A43" s="23" t="s">
        <v>128</v>
      </c>
      <c r="B43" s="19">
        <f>B26*(1-'Drivers &amp; Assumptons'!$C$18)</f>
        <v>-30.111640000000001</v>
      </c>
      <c r="C43" s="19">
        <f>C26*(1-'Drivers &amp; Assumptons'!$C$18)</f>
        <v>212.92712000000003</v>
      </c>
      <c r="D43" s="19">
        <f>D26*(1-'Drivers &amp; Assumptons'!$C$18)</f>
        <v>132.05482000000001</v>
      </c>
      <c r="E43" s="19">
        <f>E26*(1-'Drivers &amp; Assumptons'!$C$18)</f>
        <v>-183.78718000000001</v>
      </c>
      <c r="F43" s="19">
        <f>F26*(1-'Drivers &amp; Assumptons'!$C$18)</f>
        <v>174.96672707538676</v>
      </c>
      <c r="G43" s="19">
        <f>G26*(1-'Drivers &amp; Assumptons'!$C$18)</f>
        <v>157.69946878503197</v>
      </c>
      <c r="H43" s="19">
        <f>H26*(1-'Drivers &amp; Assumptons'!$C$18)</f>
        <v>152.82698298513984</v>
      </c>
      <c r="I43" s="19">
        <f>I26*(1-'Drivers &amp; Assumptons'!$C$18)</f>
        <v>154.64922320043601</v>
      </c>
      <c r="J43" s="19">
        <f>J26*(1-'Drivers &amp; Assumptons'!$C$18)</f>
        <v>155.73795545385505</v>
      </c>
      <c r="K43" s="19">
        <f>K26*(1-'Drivers &amp; Assumptons'!$C$18)</f>
        <v>165.9167293060321</v>
      </c>
      <c r="L43" s="19">
        <f>L26*(1-'Drivers &amp; Assumptons'!$C$18)</f>
        <v>180.26550205194258</v>
      </c>
      <c r="M43" s="19">
        <f>M26*(1-'Drivers &amp; Assumptons'!$C$18)</f>
        <v>203.54355344669418</v>
      </c>
    </row>
    <row r="44" spans="1:13" x14ac:dyDescent="0.2">
      <c r="A44" t="s">
        <v>139</v>
      </c>
      <c r="B44" s="18">
        <f>-7075/1000</f>
        <v>-7.0750000000000002</v>
      </c>
      <c r="C44" s="18">
        <f>-3987/1000</f>
        <v>-3.9870000000000001</v>
      </c>
      <c r="D44" s="18">
        <f>-1324/1000</f>
        <v>-1.3240000000000001</v>
      </c>
      <c r="E44" s="11">
        <v>0</v>
      </c>
      <c r="F44" s="11">
        <f>E44</f>
        <v>0</v>
      </c>
      <c r="G44" s="11">
        <f t="shared" ref="G44:M44" si="15">F44</f>
        <v>0</v>
      </c>
      <c r="H44" s="11">
        <f t="shared" si="15"/>
        <v>0</v>
      </c>
      <c r="I44" s="11">
        <f t="shared" si="15"/>
        <v>0</v>
      </c>
      <c r="J44" s="11">
        <f t="shared" si="15"/>
        <v>0</v>
      </c>
      <c r="K44" s="11">
        <f t="shared" si="15"/>
        <v>0</v>
      </c>
      <c r="L44" s="11">
        <f t="shared" si="15"/>
        <v>0</v>
      </c>
      <c r="M44" s="11">
        <f t="shared" si="15"/>
        <v>0</v>
      </c>
    </row>
    <row r="45" spans="1:13" x14ac:dyDescent="0.2"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 spans="1:13" x14ac:dyDescent="0.2">
      <c r="A46" s="8" t="s">
        <v>123</v>
      </c>
    </row>
    <row r="47" spans="1:13" x14ac:dyDescent="0.2">
      <c r="A47" s="43" t="s">
        <v>138</v>
      </c>
      <c r="B47" s="11">
        <f>B37-B40+B44</f>
        <v>-768.84700000000009</v>
      </c>
      <c r="C47" s="11">
        <f>C37-C40+C44</f>
        <v>267.56200000000001</v>
      </c>
      <c r="D47" s="11">
        <f>D37-D40+D44</f>
        <v>155.667</v>
      </c>
      <c r="E47" s="11">
        <f>E37-E40+E44</f>
        <v>-417.30899999999997</v>
      </c>
      <c r="F47" s="11">
        <f>F36-F40</f>
        <v>123.28586971567941</v>
      </c>
      <c r="G47" s="11">
        <f t="shared" ref="G47:M47" si="16">G36-G40</f>
        <v>101.42858074054678</v>
      </c>
      <c r="H47" s="11">
        <f t="shared" si="16"/>
        <v>95.260877196379539</v>
      </c>
      <c r="I47" s="11">
        <f t="shared" si="16"/>
        <v>97.567510380298728</v>
      </c>
      <c r="J47" s="11">
        <f t="shared" si="16"/>
        <v>98.945652473234219</v>
      </c>
      <c r="K47" s="11">
        <f t="shared" si="16"/>
        <v>111.83017633674947</v>
      </c>
      <c r="L47" s="11">
        <f t="shared" si="16"/>
        <v>129.99317981258551</v>
      </c>
      <c r="M47" s="11">
        <f t="shared" si="16"/>
        <v>159.45906765404325</v>
      </c>
    </row>
    <row r="48" spans="1:13" x14ac:dyDescent="0.2">
      <c r="A48" s="23" t="s">
        <v>123</v>
      </c>
      <c r="B48" s="18">
        <f>-768847/1000</f>
        <v>-768.84699999999998</v>
      </c>
      <c r="C48" s="18">
        <f>267562/1000</f>
        <v>267.56200000000001</v>
      </c>
      <c r="D48" s="18">
        <f>155667/1000</f>
        <v>155.667</v>
      </c>
      <c r="E48" s="18">
        <f>-417309/1000</f>
        <v>-417.30900000000003</v>
      </c>
      <c r="F48" s="11">
        <f>F37-F40</f>
        <v>123.28586971567941</v>
      </c>
      <c r="G48" s="11">
        <f t="shared" ref="G48:M48" si="17">G37-G40</f>
        <v>101.42858074054678</v>
      </c>
      <c r="H48" s="11">
        <f t="shared" si="17"/>
        <v>95.260877196379539</v>
      </c>
      <c r="I48" s="11">
        <f t="shared" si="17"/>
        <v>97.567510380298728</v>
      </c>
      <c r="J48" s="11">
        <f t="shared" si="17"/>
        <v>98.945652473234219</v>
      </c>
      <c r="K48" s="11">
        <f t="shared" si="17"/>
        <v>111.83017633674947</v>
      </c>
      <c r="L48" s="11">
        <f t="shared" si="17"/>
        <v>129.99317981258551</v>
      </c>
      <c r="M48" s="11">
        <f t="shared" si="17"/>
        <v>159.45906765404325</v>
      </c>
    </row>
    <row r="49" spans="1:13" x14ac:dyDescent="0.2">
      <c r="A49" s="36" t="s">
        <v>127</v>
      </c>
      <c r="B49" s="14">
        <f>B48/B2</f>
        <v>-0.99584872521539991</v>
      </c>
      <c r="C49" s="14">
        <f t="shared" ref="C49:M49" si="18">C48/C2</f>
        <v>0.18446623361043971</v>
      </c>
      <c r="D49" s="14">
        <f t="shared" si="18"/>
        <v>9.2866053036146701E-2</v>
      </c>
      <c r="E49" s="14">
        <f t="shared" si="18"/>
        <v>-0.33745090571228259</v>
      </c>
      <c r="F49" s="14">
        <f t="shared" si="18"/>
        <v>4.9396083387958832E-2</v>
      </c>
      <c r="G49" s="14">
        <f t="shared" si="18"/>
        <v>4.4849634512165358E-2</v>
      </c>
      <c r="H49" s="14">
        <f t="shared" si="18"/>
        <v>4.3391133562393228E-2</v>
      </c>
      <c r="I49" s="14">
        <f t="shared" si="18"/>
        <v>4.3946762511330791E-2</v>
      </c>
      <c r="J49" s="14">
        <f t="shared" si="18"/>
        <v>4.4272865533020955E-2</v>
      </c>
      <c r="K49" s="14">
        <f t="shared" si="18"/>
        <v>4.7125208968022879E-2</v>
      </c>
      <c r="L49" s="14">
        <f t="shared" si="18"/>
        <v>5.0624848907824489E-2</v>
      </c>
      <c r="M49" s="14">
        <f t="shared" si="18"/>
        <v>5.5296957947718876E-2</v>
      </c>
    </row>
    <row r="51" spans="1:13" x14ac:dyDescent="0.2">
      <c r="A51" s="23" t="s">
        <v>291</v>
      </c>
      <c r="B51" s="18">
        <v>96</v>
      </c>
      <c r="C51" s="18">
        <v>395</v>
      </c>
      <c r="D51" s="18">
        <v>285</v>
      </c>
      <c r="E51" s="18">
        <v>248</v>
      </c>
      <c r="F51" s="11">
        <f>F2*E52</f>
        <v>500.52447172151119</v>
      </c>
      <c r="G51" s="11">
        <f>G2*G52</f>
        <v>476.14519834536441</v>
      </c>
      <c r="H51" s="11">
        <f t="shared" ref="H51:M51" si="19">H2*H52</f>
        <v>484.17699300330207</v>
      </c>
      <c r="I51" s="11">
        <f t="shared" si="19"/>
        <v>511.8322947648399</v>
      </c>
      <c r="J51" s="11">
        <f t="shared" si="19"/>
        <v>537.58769978426903</v>
      </c>
      <c r="K51" s="11">
        <f t="shared" si="19"/>
        <v>593.26090422555251</v>
      </c>
      <c r="L51" s="11">
        <f t="shared" si="19"/>
        <v>641.94354460825855</v>
      </c>
      <c r="M51" s="11">
        <f t="shared" si="19"/>
        <v>720.92151888719445</v>
      </c>
    </row>
    <row r="52" spans="1:13" x14ac:dyDescent="0.2">
      <c r="A52" s="36" t="s">
        <v>292</v>
      </c>
      <c r="B52" s="52">
        <f>B51/B2</f>
        <v>0.1243439561065835</v>
      </c>
      <c r="C52" s="52">
        <f t="shared" ref="C52:E52" si="20">C51/C2</f>
        <v>0.27232627307361912</v>
      </c>
      <c r="D52" s="52">
        <f t="shared" si="20"/>
        <v>0.17002206707460032</v>
      </c>
      <c r="E52" s="52">
        <f t="shared" si="20"/>
        <v>0.20054162411221921</v>
      </c>
      <c r="F52" s="52">
        <f t="shared" ref="F52" si="21">F51/F2</f>
        <v>0.20054162411221921</v>
      </c>
      <c r="G52" s="52">
        <f>MIN(F52+0.01, 0.25)</f>
        <v>0.21054162411221922</v>
      </c>
      <c r="H52" s="52">
        <f t="shared" ref="H52:M52" si="22">MIN(G52+0.01, 0.25)</f>
        <v>0.22054162411221923</v>
      </c>
      <c r="I52" s="52">
        <f t="shared" si="22"/>
        <v>0.23054162411221923</v>
      </c>
      <c r="J52" s="52">
        <f t="shared" si="22"/>
        <v>0.24054162411221924</v>
      </c>
      <c r="K52" s="52">
        <f t="shared" si="22"/>
        <v>0.25</v>
      </c>
      <c r="L52" s="52">
        <f t="shared" si="22"/>
        <v>0.25</v>
      </c>
      <c r="M52" s="52">
        <f t="shared" si="22"/>
        <v>0.25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2030-D693-6B46-AA3F-7FFA0295ED53}">
  <dimension ref="A1:L55"/>
  <sheetViews>
    <sheetView workbookViewId="0">
      <pane ySplit="1" topLeftCell="A2" activePane="bottomLeft" state="frozen"/>
      <selection pane="bottomLeft" activeCell="F44" sqref="F44"/>
    </sheetView>
  </sheetViews>
  <sheetFormatPr baseColWidth="10" defaultRowHeight="16" x14ac:dyDescent="0.2"/>
  <cols>
    <col min="1" max="1" width="87.5" bestFit="1" customWidth="1"/>
    <col min="4" max="4" width="13.5" bestFit="1" customWidth="1"/>
  </cols>
  <sheetData>
    <row r="1" spans="1:12" x14ac:dyDescent="0.2">
      <c r="A1" s="44" t="s">
        <v>92</v>
      </c>
      <c r="B1" s="45" t="s">
        <v>140</v>
      </c>
      <c r="C1" s="45" t="s">
        <v>141</v>
      </c>
      <c r="D1" s="46" t="s">
        <v>55</v>
      </c>
      <c r="E1" s="45" t="s">
        <v>142</v>
      </c>
      <c r="F1" s="45" t="s">
        <v>2</v>
      </c>
      <c r="G1" s="45" t="s">
        <v>3</v>
      </c>
      <c r="H1" s="45" t="s">
        <v>4</v>
      </c>
      <c r="I1" s="45" t="s">
        <v>5</v>
      </c>
      <c r="J1" s="45" t="s">
        <v>6</v>
      </c>
      <c r="K1" s="45" t="s">
        <v>143</v>
      </c>
      <c r="L1" s="45" t="s">
        <v>144</v>
      </c>
    </row>
    <row r="2" spans="1:12" x14ac:dyDescent="0.2">
      <c r="A2" s="8" t="s">
        <v>146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x14ac:dyDescent="0.2">
      <c r="A3" s="8" t="s">
        <v>147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x14ac:dyDescent="0.2">
      <c r="A4" t="s">
        <v>155</v>
      </c>
      <c r="B4" s="18">
        <f>644432/1000</f>
        <v>644.43200000000002</v>
      </c>
      <c r="C4" s="18">
        <f>1045474/1000</f>
        <v>1045.4739999999999</v>
      </c>
      <c r="D4" s="18">
        <f>1706390/1000</f>
        <v>1706.39</v>
      </c>
      <c r="E4" s="11">
        <f>SUM('Cash Flow Statement'!F56:F58)</f>
        <v>1886.3126255787406</v>
      </c>
      <c r="F4" s="11">
        <f>SUM('Cash Flow Statement'!G56:G58)</f>
        <v>2003.5825551623075</v>
      </c>
      <c r="G4" s="11">
        <f>SUM('Cash Flow Statement'!H56:H58)</f>
        <v>2128.8787453371801</v>
      </c>
      <c r="H4" s="11">
        <f>SUM('Cash Flow Statement'!I56:I58)</f>
        <v>2263.5260209616567</v>
      </c>
      <c r="I4" s="11">
        <f>SUM('Cash Flow Statement'!J56:J58)</f>
        <v>2408.4767290404548</v>
      </c>
      <c r="J4" s="11">
        <f>SUM('Cash Flow Statement'!K56:K58)</f>
        <v>2564.818554043567</v>
      </c>
      <c r="K4" s="11">
        <f>SUM('Cash Flow Statement'!L56:L58)</f>
        <v>2733.8675878062213</v>
      </c>
      <c r="L4" s="11">
        <f>SUM('Cash Flow Statement'!M56:M58)</f>
        <v>2917.0033236988529</v>
      </c>
    </row>
    <row r="5" spans="1:12" x14ac:dyDescent="0.2">
      <c r="A5" t="s">
        <v>156</v>
      </c>
      <c r="B5" s="18">
        <f>24346152/1000</f>
        <v>24346.151999999998</v>
      </c>
      <c r="C5" s="18">
        <f>43918572/1000</f>
        <v>43918.572</v>
      </c>
      <c r="D5" s="18">
        <f>61365920/1000</f>
        <v>61365.919999999998</v>
      </c>
      <c r="E5" s="11">
        <f>D5*(1+'Drivers &amp; Assumptons'!$C$34*0.5)</f>
        <v>63820.556799999998</v>
      </c>
      <c r="F5" s="11">
        <f>E5*(1+'Drivers &amp; Assumptons'!$C$34)</f>
        <v>68926.201344000001</v>
      </c>
      <c r="G5" s="11">
        <f>F5*(1+'Drivers &amp; Assumptons'!$C$34)</f>
        <v>74440.297451520004</v>
      </c>
      <c r="H5" s="11">
        <f>G5*(1+'Drivers &amp; Assumptons'!$C$34)</f>
        <v>80395.521247641605</v>
      </c>
      <c r="I5" s="11">
        <f>H5*(1+'Drivers &amp; Assumptons'!$C$34)</f>
        <v>86827.162947452933</v>
      </c>
      <c r="J5" s="11">
        <f>I5*(1+'Drivers &amp; Assumptons'!$C$34)</f>
        <v>93773.33598324917</v>
      </c>
      <c r="K5" s="11">
        <f>J5*(1+'Drivers &amp; Assumptons'!$C$34)</f>
        <v>101275.20286190911</v>
      </c>
      <c r="L5" s="11">
        <f>K5*(1+'Drivers &amp; Assumptons'!$C$34)</f>
        <v>109377.21909086185</v>
      </c>
    </row>
    <row r="6" spans="1:12" x14ac:dyDescent="0.2">
      <c r="A6" t="s">
        <v>281</v>
      </c>
      <c r="B6" s="18">
        <v>0</v>
      </c>
      <c r="C6" s="18">
        <v>0</v>
      </c>
      <c r="D6" s="18">
        <v>0</v>
      </c>
      <c r="E6" s="19">
        <f>'Cash Flow Statement'!F60</f>
        <v>17565.490669339473</v>
      </c>
      <c r="F6" s="19">
        <f>'Cash Flow Statement'!G60</f>
        <v>17519.524953967382</v>
      </c>
      <c r="G6" s="19">
        <f>'Cash Flow Statement'!H60</f>
        <v>17411.405322998253</v>
      </c>
      <c r="H6" s="19">
        <f>'Cash Flow Statement'!I60</f>
        <v>17265.615984873089</v>
      </c>
      <c r="I6" s="19">
        <f>'Cash Flow Statement'!J60</f>
        <v>17087.956285948807</v>
      </c>
      <c r="J6" s="19">
        <f>'Cash Flow Statement'!K60</f>
        <v>16887.241568464247</v>
      </c>
      <c r="K6" s="19">
        <f>'Cash Flow Statement'!L60</f>
        <v>16679.092867740052</v>
      </c>
      <c r="L6" s="19">
        <f>'Cash Flow Statement'!M60</f>
        <v>16478.57371439386</v>
      </c>
    </row>
    <row r="7" spans="1:12" x14ac:dyDescent="0.2">
      <c r="A7" s="36" t="s">
        <v>282</v>
      </c>
      <c r="B7" s="50">
        <f>SUM(B4:B5)</f>
        <v>24990.583999999999</v>
      </c>
      <c r="C7" s="50">
        <f t="shared" ref="C7:D7" si="0">SUM(C4:C5)</f>
        <v>44964.046000000002</v>
      </c>
      <c r="D7" s="50">
        <f t="shared" si="0"/>
        <v>63072.31</v>
      </c>
      <c r="E7" s="53">
        <f>'Cash Flow Statement'!F62</f>
        <v>83272.360094918215</v>
      </c>
      <c r="F7" s="53">
        <f>'Cash Flow Statement'!G62</f>
        <v>88449.308853129696</v>
      </c>
      <c r="G7" s="53">
        <f>'Cash Flow Statement'!H62</f>
        <v>93980.581519855434</v>
      </c>
      <c r="H7" s="53">
        <f>'Cash Flow Statement'!I62</f>
        <v>99924.663253476348</v>
      </c>
      <c r="I7" s="53">
        <f>'Cash Flow Statement'!J62</f>
        <v>106323.5959624422</v>
      </c>
      <c r="J7" s="53">
        <f>'Cash Flow Statement'!K62</f>
        <v>113225.39610575698</v>
      </c>
      <c r="K7" s="53">
        <f>'Cash Flow Statement'!L62</f>
        <v>120688.16331745539</v>
      </c>
      <c r="L7" s="53">
        <f>'Cash Flow Statement'!M62</f>
        <v>128772.79612895456</v>
      </c>
    </row>
    <row r="8" spans="1:12" s="43" customFormat="1" x14ac:dyDescent="0.2">
      <c r="A8" s="43" t="s">
        <v>269</v>
      </c>
      <c r="B8" s="51">
        <f>SUM(B4:B5)</f>
        <v>24990.583999999999</v>
      </c>
      <c r="C8" s="51">
        <f t="shared" ref="C8:L8" si="1">SUM(C4:C5)</f>
        <v>44964.046000000002</v>
      </c>
      <c r="D8" s="51">
        <f t="shared" si="1"/>
        <v>63072.31</v>
      </c>
      <c r="E8" s="15">
        <f t="shared" si="1"/>
        <v>65706.869425578741</v>
      </c>
      <c r="F8" s="15">
        <f t="shared" si="1"/>
        <v>70929.783899162314</v>
      </c>
      <c r="G8" s="15">
        <f t="shared" si="1"/>
        <v>76569.176196857181</v>
      </c>
      <c r="H8" s="15">
        <f t="shared" si="1"/>
        <v>82659.047268603259</v>
      </c>
      <c r="I8" s="15">
        <f t="shared" si="1"/>
        <v>89235.639676493389</v>
      </c>
      <c r="J8" s="15">
        <f t="shared" si="1"/>
        <v>96338.154537292736</v>
      </c>
      <c r="K8" s="15">
        <f t="shared" si="1"/>
        <v>104009.07044971533</v>
      </c>
      <c r="L8" s="15">
        <f t="shared" si="1"/>
        <v>112294.2224145607</v>
      </c>
    </row>
    <row r="9" spans="1:12" x14ac:dyDescent="0.2">
      <c r="A9" t="s">
        <v>157</v>
      </c>
      <c r="B9" s="18">
        <f>152183/1000</f>
        <v>152.18299999999999</v>
      </c>
      <c r="C9" s="18">
        <v>0</v>
      </c>
      <c r="D9" s="18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</row>
    <row r="10" spans="1:12" x14ac:dyDescent="0.2">
      <c r="A10" t="s">
        <v>159</v>
      </c>
      <c r="B10" s="18">
        <f>1940/1000</f>
        <v>1.94</v>
      </c>
      <c r="C10" s="18">
        <f>6418/1000</f>
        <v>6.4180000000000001</v>
      </c>
      <c r="D10" s="18">
        <f>13215/1000</f>
        <v>13.215</v>
      </c>
      <c r="E10" s="11">
        <f>'P&amp;L'!F2*'Drivers &amp; Assumptons'!$C$35</f>
        <v>18.113598874031013</v>
      </c>
      <c r="F10" s="11">
        <f>'P&amp;L'!G2*'Drivers &amp; Assumptons'!$C$35</f>
        <v>16.412902827314646</v>
      </c>
      <c r="G10" s="11">
        <f>'P&amp;L'!H2*'Drivers &amp; Assumptons'!$C$35</f>
        <v>15.93299934766454</v>
      </c>
      <c r="H10" s="11">
        <f>'P&amp;L'!I2*'Drivers &amp; Assumptons'!$C$35</f>
        <v>16.112476406396713</v>
      </c>
      <c r="I10" s="11">
        <f>'P&amp;L'!J2*'Drivers &amp; Assumptons'!$C$35</f>
        <v>16.219708406300057</v>
      </c>
      <c r="J10" s="11">
        <f>'P&amp;L'!K2*'Drivers &amp; Assumptons'!$C$35</f>
        <v>17.222241649257754</v>
      </c>
      <c r="K10" s="11">
        <f>'P&amp;L'!L2*'Drivers &amp; Assumptons'!$C$35</f>
        <v>18.635488655462154</v>
      </c>
      <c r="L10" s="11">
        <f>'P&amp;L'!M2*'Drivers &amp; Assumptons'!$C$35</f>
        <v>20.928202954201058</v>
      </c>
    </row>
    <row r="11" spans="1:12" x14ac:dyDescent="0.2">
      <c r="A11" t="s">
        <v>158</v>
      </c>
      <c r="B11" s="18">
        <f>22559/1000</f>
        <v>22.559000000000001</v>
      </c>
      <c r="C11" s="18">
        <f>6957/1000</f>
        <v>6.9569999999999999</v>
      </c>
      <c r="D11" s="18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</row>
    <row r="12" spans="1:12" x14ac:dyDescent="0.2">
      <c r="A12" t="s">
        <v>160</v>
      </c>
      <c r="B12" s="18">
        <f>146645/1000</f>
        <v>146.64500000000001</v>
      </c>
      <c r="C12" s="18">
        <f>187528/1000</f>
        <v>187.52799999999999</v>
      </c>
      <c r="D12" s="18">
        <f>216604/1000</f>
        <v>216.60400000000001</v>
      </c>
      <c r="E12" s="11">
        <f>'P&amp;L'!F22*'Drivers &amp; Assumptons'!$C$38</f>
        <v>252.48391483816829</v>
      </c>
      <c r="F12" s="11">
        <f>'P&amp;L'!G22*'Drivers &amp; Assumptons'!$C$38</f>
        <v>229.13512380064392</v>
      </c>
      <c r="G12" s="11">
        <f>'P&amp;L'!H22*'Drivers &amp; Assumptons'!$C$38</f>
        <v>222.54654726683845</v>
      </c>
      <c r="H12" s="11">
        <f>'P&amp;L'!I22*'Drivers &amp; Assumptons'!$C$38</f>
        <v>225.01058094790562</v>
      </c>
      <c r="I12" s="11">
        <f>'P&amp;L'!J22*'Drivers &amp; Assumptons'!$C$38</f>
        <v>226.48276497697609</v>
      </c>
      <c r="J12" s="11">
        <f>'P&amp;L'!K22*'Drivers &amp; Assumptons'!$C$38</f>
        <v>240.24650556024255</v>
      </c>
      <c r="K12" s="11">
        <f>'P&amp;L'!L22*'Drivers &amp; Assumptons'!$C$38</f>
        <v>259.64891970472411</v>
      </c>
      <c r="L12" s="11">
        <f>'P&amp;L'!M22*'Drivers &amp; Assumptons'!$C$38</f>
        <v>291.12550670176955</v>
      </c>
    </row>
    <row r="13" spans="1:12" x14ac:dyDescent="0.2">
      <c r="A13" t="s">
        <v>332</v>
      </c>
      <c r="B13" s="18">
        <f>SUM(B10,B11,B12)</f>
        <v>171.14400000000001</v>
      </c>
      <c r="C13" s="18">
        <f t="shared" ref="C13:L13" si="2">SUM(C10,C11,C12)</f>
        <v>200.90299999999999</v>
      </c>
      <c r="D13" s="18">
        <f t="shared" si="2"/>
        <v>229.81900000000002</v>
      </c>
      <c r="E13" s="18">
        <f t="shared" si="2"/>
        <v>270.59751371219932</v>
      </c>
      <c r="F13" s="18">
        <f t="shared" si="2"/>
        <v>245.54802662795856</v>
      </c>
      <c r="G13" s="18">
        <f t="shared" si="2"/>
        <v>238.47954661450299</v>
      </c>
      <c r="H13" s="18">
        <f t="shared" si="2"/>
        <v>241.12305735430235</v>
      </c>
      <c r="I13" s="18">
        <f t="shared" si="2"/>
        <v>242.70247338327613</v>
      </c>
      <c r="J13" s="18">
        <f t="shared" si="2"/>
        <v>257.46874720950029</v>
      </c>
      <c r="K13" s="18">
        <f t="shared" si="2"/>
        <v>278.28440836018626</v>
      </c>
      <c r="L13" s="18">
        <f t="shared" si="2"/>
        <v>312.05370965597064</v>
      </c>
    </row>
    <row r="14" spans="1:12" x14ac:dyDescent="0.2">
      <c r="A14" s="8" t="s">
        <v>161</v>
      </c>
      <c r="B14" s="18"/>
      <c r="C14" s="18"/>
      <c r="D14" s="18"/>
      <c r="E14" s="11"/>
      <c r="F14" s="11"/>
      <c r="G14" s="11"/>
      <c r="H14" s="11"/>
      <c r="I14" s="11"/>
      <c r="J14" s="11"/>
      <c r="K14" s="11"/>
      <c r="L14" s="11"/>
    </row>
    <row r="15" spans="1:12" x14ac:dyDescent="0.2">
      <c r="A15" t="s">
        <v>157</v>
      </c>
      <c r="B15" s="18">
        <f>87940/1000</f>
        <v>87.94</v>
      </c>
      <c r="C15" s="18">
        <v>0</v>
      </c>
      <c r="D15" s="18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</row>
    <row r="16" spans="1:12" x14ac:dyDescent="0.2">
      <c r="A16" t="s">
        <v>162</v>
      </c>
      <c r="B16" s="18">
        <f>75874/1000</f>
        <v>75.873999999999995</v>
      </c>
      <c r="C16" s="18">
        <f>84114/1000</f>
        <v>84.114000000000004</v>
      </c>
      <c r="D16" s="18">
        <f>83794/1000</f>
        <v>83.793999999999997</v>
      </c>
      <c r="E16" s="11">
        <f>D16</f>
        <v>83.793999999999997</v>
      </c>
      <c r="F16" s="11">
        <f t="shared" ref="F16:L16" si="3">E16</f>
        <v>83.793999999999997</v>
      </c>
      <c r="G16" s="11">
        <f t="shared" si="3"/>
        <v>83.793999999999997</v>
      </c>
      <c r="H16" s="11">
        <f t="shared" si="3"/>
        <v>83.793999999999997</v>
      </c>
      <c r="I16" s="11">
        <f t="shared" si="3"/>
        <v>83.793999999999997</v>
      </c>
      <c r="J16" s="11">
        <f t="shared" si="3"/>
        <v>83.793999999999997</v>
      </c>
      <c r="K16" s="11">
        <f t="shared" si="3"/>
        <v>83.793999999999997</v>
      </c>
      <c r="L16" s="11">
        <f t="shared" si="3"/>
        <v>83.793999999999997</v>
      </c>
    </row>
    <row r="17" spans="1:12" x14ac:dyDescent="0.2">
      <c r="A17" t="s">
        <v>163</v>
      </c>
      <c r="B17" s="18">
        <f>2619/1000</f>
        <v>2.6190000000000002</v>
      </c>
      <c r="C17" s="18">
        <f>18682/1000</f>
        <v>18.681999999999999</v>
      </c>
      <c r="D17" s="18">
        <f>23804/1000</f>
        <v>23.803999999999998</v>
      </c>
      <c r="E17" s="11">
        <f>D17*(1+'Drivers &amp; Assumptons'!C40)</f>
        <v>28.564799999999998</v>
      </c>
      <c r="F17" s="11">
        <f>E17*(1+'Drivers &amp; Assumptons'!$C$39)</f>
        <v>29.298697695605011</v>
      </c>
      <c r="G17" s="11">
        <f>F17*(1+'Drivers &amp; Assumptons'!$C$39)</f>
        <v>30.051450969670729</v>
      </c>
      <c r="H17" s="11">
        <f>G17*(1+'Drivers &amp; Assumptons'!$C$39)</f>
        <v>30.823544266883676</v>
      </c>
      <c r="I17" s="11">
        <f>H17*(1+'Drivers &amp; Assumptons'!$C$39)</f>
        <v>31.615474478467338</v>
      </c>
      <c r="J17" s="11">
        <f>I17*(1+'Drivers &amp; Assumptons'!$C$39)</f>
        <v>32.42775126196333</v>
      </c>
      <c r="K17" s="11">
        <f>J17*(1+'Drivers &amp; Assumptons'!$C$39)</f>
        <v>33.260897369228474</v>
      </c>
      <c r="L17" s="11">
        <f>K17*(1+'Drivers &amp; Assumptons'!$C$39)</f>
        <v>34.115448982858943</v>
      </c>
    </row>
    <row r="18" spans="1:12" x14ac:dyDescent="0.2">
      <c r="A18" t="s">
        <v>164</v>
      </c>
      <c r="B18" s="18">
        <f>11339/1000</f>
        <v>11.339</v>
      </c>
      <c r="C18" s="18">
        <f>31330/1000</f>
        <v>31.33</v>
      </c>
      <c r="D18" s="18">
        <f>35113/1000</f>
        <v>35.113</v>
      </c>
      <c r="E18" s="11">
        <f>D18</f>
        <v>35.113</v>
      </c>
      <c r="F18" s="11">
        <f t="shared" ref="F18:L18" si="4">E18</f>
        <v>35.113</v>
      </c>
      <c r="G18" s="11">
        <f t="shared" si="4"/>
        <v>35.113</v>
      </c>
      <c r="H18" s="11">
        <f t="shared" si="4"/>
        <v>35.113</v>
      </c>
      <c r="I18" s="11">
        <f t="shared" si="4"/>
        <v>35.113</v>
      </c>
      <c r="J18" s="11">
        <f t="shared" si="4"/>
        <v>35.113</v>
      </c>
      <c r="K18" s="11">
        <f t="shared" si="4"/>
        <v>35.113</v>
      </c>
      <c r="L18" s="11">
        <f t="shared" si="4"/>
        <v>35.113</v>
      </c>
    </row>
    <row r="19" spans="1:12" x14ac:dyDescent="0.2">
      <c r="A19" t="s">
        <v>179</v>
      </c>
      <c r="B19" s="18">
        <v>0</v>
      </c>
      <c r="C19" s="18">
        <f>169544/1000</f>
        <v>169.54400000000001</v>
      </c>
      <c r="D19" s="18">
        <f>266384/1000</f>
        <v>266.38400000000001</v>
      </c>
      <c r="E19" s="11">
        <f>D19</f>
        <v>266.38400000000001</v>
      </c>
      <c r="F19" s="11">
        <f t="shared" ref="F19:L19" si="5">E19</f>
        <v>266.38400000000001</v>
      </c>
      <c r="G19" s="11">
        <f t="shared" si="5"/>
        <v>266.38400000000001</v>
      </c>
      <c r="H19" s="11">
        <f t="shared" si="5"/>
        <v>266.38400000000001</v>
      </c>
      <c r="I19" s="11">
        <f t="shared" si="5"/>
        <v>266.38400000000001</v>
      </c>
      <c r="J19" s="11">
        <f t="shared" si="5"/>
        <v>266.38400000000001</v>
      </c>
      <c r="K19" s="11">
        <f t="shared" si="5"/>
        <v>266.38400000000001</v>
      </c>
      <c r="L19" s="11">
        <f t="shared" si="5"/>
        <v>266.38400000000001</v>
      </c>
    </row>
    <row r="20" spans="1:12" x14ac:dyDescent="0.2">
      <c r="A20" t="s">
        <v>180</v>
      </c>
      <c r="B20" s="18">
        <v>0</v>
      </c>
      <c r="C20" s="18">
        <f>331394/1000</f>
        <v>331.39400000000001</v>
      </c>
      <c r="D20" s="18">
        <f>396969/1000</f>
        <v>396.96899999999999</v>
      </c>
      <c r="E20" s="11">
        <f>D20</f>
        <v>396.96899999999999</v>
      </c>
      <c r="F20" s="11">
        <f t="shared" ref="F20:L20" si="6">E20</f>
        <v>396.96899999999999</v>
      </c>
      <c r="G20" s="11">
        <f t="shared" si="6"/>
        <v>396.96899999999999</v>
      </c>
      <c r="H20" s="11">
        <f t="shared" si="6"/>
        <v>396.96899999999999</v>
      </c>
      <c r="I20" s="11">
        <f t="shared" si="6"/>
        <v>396.96899999999999</v>
      </c>
      <c r="J20" s="11">
        <f t="shared" si="6"/>
        <v>396.96899999999999</v>
      </c>
      <c r="K20" s="11">
        <f t="shared" si="6"/>
        <v>396.96899999999999</v>
      </c>
      <c r="L20" s="11">
        <f t="shared" si="6"/>
        <v>396.96899999999999</v>
      </c>
    </row>
    <row r="21" spans="1:12" x14ac:dyDescent="0.2">
      <c r="A21" t="s">
        <v>165</v>
      </c>
      <c r="B21" s="18">
        <v>0</v>
      </c>
      <c r="C21" s="18">
        <f>10223/1000</f>
        <v>10.223000000000001</v>
      </c>
      <c r="D21" s="18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</row>
    <row r="22" spans="1:12" x14ac:dyDescent="0.2">
      <c r="A22" t="s">
        <v>166</v>
      </c>
      <c r="B22" s="18">
        <f>4400/1000</f>
        <v>4.4000000000000004</v>
      </c>
      <c r="C22" s="18">
        <f>20615/1000</f>
        <v>20.614999999999998</v>
      </c>
      <c r="D22" s="18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</row>
    <row r="23" spans="1:12" x14ac:dyDescent="0.2">
      <c r="A23" t="s">
        <v>188</v>
      </c>
      <c r="B23" s="18">
        <f>B42-SUM(B15:B22,B8:B12)</f>
        <v>-629.90300000000207</v>
      </c>
      <c r="C23" s="18">
        <f t="shared" ref="C23:L23" si="7">C42-SUM(C15:C22,C8:C12)</f>
        <v>15.356999999996333</v>
      </c>
      <c r="D23" s="18">
        <f t="shared" si="7"/>
        <v>-9.6319999999905122</v>
      </c>
      <c r="E23" s="18">
        <f t="shared" si="7"/>
        <v>-129.61867233643716</v>
      </c>
      <c r="F23" s="18">
        <f t="shared" si="7"/>
        <v>-218.09659262254718</v>
      </c>
      <c r="G23" s="18">
        <f t="shared" si="7"/>
        <v>-523.56519635906443</v>
      </c>
      <c r="H23" s="18">
        <f t="shared" si="7"/>
        <v>-586.89344589009124</v>
      </c>
      <c r="I23" s="18">
        <f t="shared" si="7"/>
        <v>-661.2926959155302</v>
      </c>
      <c r="J23" s="18">
        <f t="shared" si="7"/>
        <v>-735.5284800377558</v>
      </c>
      <c r="K23" s="18">
        <f t="shared" si="7"/>
        <v>-806.30735425303283</v>
      </c>
      <c r="L23" s="18">
        <f t="shared" si="7"/>
        <v>-863.42297644210339</v>
      </c>
    </row>
    <row r="24" spans="1:12" x14ac:dyDescent="0.2">
      <c r="A24" s="23" t="s">
        <v>186</v>
      </c>
      <c r="B24" s="11">
        <f>SUM(B15:B23,B8:B12)</f>
        <v>24866.179999999997</v>
      </c>
      <c r="C24" s="11">
        <f t="shared" ref="C24:L24" si="8">SUM(C15:C23,C8:C12)</f>
        <v>45846.207999999999</v>
      </c>
      <c r="D24" s="11">
        <f t="shared" si="8"/>
        <v>64098.561000000002</v>
      </c>
      <c r="E24" s="11">
        <f t="shared" si="8"/>
        <v>66658.673066954507</v>
      </c>
      <c r="F24" s="11">
        <f t="shared" si="8"/>
        <v>71768.794030863341</v>
      </c>
      <c r="G24" s="11">
        <f t="shared" si="8"/>
        <v>77096.401998082307</v>
      </c>
      <c r="H24" s="11">
        <f t="shared" si="8"/>
        <v>83126.360424334358</v>
      </c>
      <c r="I24" s="11">
        <f t="shared" si="8"/>
        <v>89630.924928439592</v>
      </c>
      <c r="J24" s="11">
        <f t="shared" si="8"/>
        <v>96674.782555726444</v>
      </c>
      <c r="K24" s="11">
        <f t="shared" si="8"/>
        <v>104296.56840119172</v>
      </c>
      <c r="L24" s="11">
        <f t="shared" si="8"/>
        <v>112559.22859675743</v>
      </c>
    </row>
    <row r="25" spans="1:12" x14ac:dyDescent="0.2">
      <c r="B25" s="18"/>
      <c r="C25" s="18"/>
      <c r="D25" s="18"/>
      <c r="E25" s="11"/>
      <c r="F25" s="11"/>
      <c r="G25" s="11"/>
      <c r="H25" s="11"/>
      <c r="I25" s="11"/>
      <c r="J25" s="11"/>
      <c r="K25" s="11"/>
      <c r="L25" s="11"/>
    </row>
    <row r="26" spans="1:12" x14ac:dyDescent="0.2">
      <c r="A26" s="8" t="s">
        <v>167</v>
      </c>
      <c r="B26" s="18"/>
      <c r="C26" s="18"/>
      <c r="D26" s="18"/>
      <c r="E26" s="11"/>
      <c r="F26" s="11"/>
      <c r="G26" s="11"/>
      <c r="H26" s="11"/>
      <c r="I26" s="11"/>
      <c r="J26" s="11"/>
      <c r="K26" s="11"/>
      <c r="L26" s="11"/>
    </row>
    <row r="27" spans="1:12" x14ac:dyDescent="0.2">
      <c r="A27" s="8" t="s">
        <v>168</v>
      </c>
      <c r="B27" s="18"/>
      <c r="C27" s="18"/>
      <c r="D27" s="18"/>
      <c r="E27" s="11"/>
      <c r="F27" s="11"/>
      <c r="G27" s="11"/>
      <c r="H27" s="11"/>
      <c r="I27" s="11"/>
      <c r="J27" s="11"/>
      <c r="K27" s="11"/>
      <c r="L27" s="11"/>
    </row>
    <row r="28" spans="1:12" x14ac:dyDescent="0.2">
      <c r="A28" s="43" t="s">
        <v>153</v>
      </c>
      <c r="B28" s="18">
        <f>2499/1000</f>
        <v>2.4990000000000001</v>
      </c>
      <c r="C28" s="18">
        <f>13390/1000</f>
        <v>13.39</v>
      </c>
      <c r="D28" s="18">
        <f>8507/1000</f>
        <v>8.5069999999999997</v>
      </c>
      <c r="E28" s="11">
        <f>D28</f>
        <v>8.5069999999999997</v>
      </c>
      <c r="F28" s="11">
        <f>'P&amp;L'!G2*'Drivers &amp; Assumptons'!$C$42</f>
        <v>12.50624348585816</v>
      </c>
      <c r="G28" s="11">
        <f>'P&amp;L'!H2*'Drivers &amp; Assumptons'!$C$42</f>
        <v>12.140568392953417</v>
      </c>
      <c r="H28" s="11">
        <f>'P&amp;L'!I2*'Drivers &amp; Assumptons'!$C$42</f>
        <v>12.277325663757136</v>
      </c>
      <c r="I28" s="11">
        <f>'P&amp;L'!J2*'Drivers &amp; Assumptons'!$C$42</f>
        <v>12.359033909664433</v>
      </c>
      <c r="J28" s="11">
        <f>'P&amp;L'!K2*'Drivers &amp; Assumptons'!$C$42</f>
        <v>13.122940512354488</v>
      </c>
      <c r="K28" s="11">
        <f>'P&amp;L'!L2*'Drivers &amp; Assumptons'!$C$42</f>
        <v>14.199801281665705</v>
      </c>
      <c r="L28" s="11">
        <f>'P&amp;L'!M2*'Drivers &amp; Assumptons'!$C$42</f>
        <v>15.946795312229195</v>
      </c>
    </row>
    <row r="29" spans="1:12" x14ac:dyDescent="0.2">
      <c r="A29" t="s">
        <v>169</v>
      </c>
      <c r="B29" s="18">
        <f>152586/1000</f>
        <v>152.58600000000001</v>
      </c>
      <c r="C29" s="18">
        <f>287007/1000</f>
        <v>287.00700000000001</v>
      </c>
      <c r="D29" s="18">
        <f>411560/1000</f>
        <v>411.56</v>
      </c>
      <c r="E29" s="11">
        <f>'P&amp;L'!F22*'Drivers &amp; Assumptons'!$C$37</f>
        <v>374.76627723882643</v>
      </c>
      <c r="F29" s="11">
        <f>0.5*('P&amp;L'!G22*'Drivers &amp; Assumptons'!C37)+0.5*(('P&amp;L'!G22-'P&amp;L'!G16-'Cash Flow Statement'!G17)*'Drivers &amp; Assumptons'!C37)</f>
        <v>295.81270332125155</v>
      </c>
      <c r="G29" s="11">
        <f>('P&amp;L'!H22-'Cash Flow Statement'!H17-'P&amp;L'!H16)*'Drivers &amp; Assumptons'!$C$37</f>
        <v>244.32701774872723</v>
      </c>
      <c r="H29" s="11">
        <f>('P&amp;L'!I22-'Cash Flow Statement'!I17-'P&amp;L'!I16)*'Drivers &amp; Assumptons'!$C$37</f>
        <v>247.01564960664561</v>
      </c>
      <c r="I29" s="11">
        <f>('P&amp;L'!J22-'Cash Flow Statement'!J17-'P&amp;L'!J16)*'Drivers &amp; Assumptons'!$C$37</f>
        <v>248.62202411024546</v>
      </c>
      <c r="J29" s="11">
        <f>('P&amp;L'!K22-'Cash Flow Statement'!K17-'P&amp;L'!K16)*'Drivers &amp; Assumptons'!$C$37</f>
        <v>263.64033806456916</v>
      </c>
      <c r="K29" s="11">
        <f>('P&amp;L'!L22-'Cash Flow Statement'!L17-'P&amp;L'!L16)*'Drivers &amp; Assumptons'!$C$37</f>
        <v>284.81129412341124</v>
      </c>
      <c r="L29" s="11">
        <f>('P&amp;L'!M22-'Cash Flow Statement'!M17-'P&amp;L'!M16)*'Drivers &amp; Assumptons'!$C$37</f>
        <v>319.15699127400546</v>
      </c>
    </row>
    <row r="30" spans="1:12" x14ac:dyDescent="0.2">
      <c r="A30" t="s">
        <v>170</v>
      </c>
      <c r="B30" s="18">
        <f>4662/1000</f>
        <v>4.6619999999999999</v>
      </c>
      <c r="C30" s="40">
        <f>570/1000</f>
        <v>0.56999999999999995</v>
      </c>
      <c r="D30" s="18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</row>
    <row r="31" spans="1:12" x14ac:dyDescent="0.2">
      <c r="A31" t="s">
        <v>171</v>
      </c>
      <c r="B31" s="18">
        <f>24276065/1000</f>
        <v>24276.064999999999</v>
      </c>
      <c r="C31" s="18">
        <f>43727363/1000</f>
        <v>43727.362999999998</v>
      </c>
      <c r="D31" s="18">
        <f>61101523/1000</f>
        <v>61101.523000000001</v>
      </c>
      <c r="E31" s="11">
        <f>D31*(1+'Drivers &amp; Assumptons'!$C$5*0.5)</f>
        <v>63545.583920000005</v>
      </c>
      <c r="F31" s="11">
        <f>E31*(1+'Drivers &amp; Assumptons'!$C$5)</f>
        <v>68629.230633600004</v>
      </c>
      <c r="G31" s="11">
        <f>F31*(1+'Drivers &amp; Assumptons'!$C$5)</f>
        <v>74119.569084288014</v>
      </c>
      <c r="H31" s="11">
        <f>G31*(1+'Drivers &amp; Assumptons'!$C$5)</f>
        <v>80049.134611031055</v>
      </c>
      <c r="I31" s="11">
        <f>H31*(1+'Drivers &amp; Assumptons'!$C$5)</f>
        <v>86453.065379913547</v>
      </c>
      <c r="J31" s="11">
        <f>I31*(1+'Drivers &amp; Assumptons'!$C$5)</f>
        <v>93369.310610306638</v>
      </c>
      <c r="K31" s="11">
        <f>J31*(1+'Drivers &amp; Assumptons'!$C$5)</f>
        <v>100838.85545913117</v>
      </c>
      <c r="L31" s="11">
        <f>K31*(1+'Drivers &amp; Assumptons'!$C$5)</f>
        <v>108905.96389586167</v>
      </c>
    </row>
    <row r="32" spans="1:12" x14ac:dyDescent="0.2">
      <c r="A32" t="s">
        <v>174</v>
      </c>
      <c r="B32" s="18">
        <v>0</v>
      </c>
      <c r="C32" s="18">
        <v>0</v>
      </c>
      <c r="D32" s="18">
        <f>206140/1000</f>
        <v>206.14</v>
      </c>
      <c r="E32" s="11">
        <f>D32</f>
        <v>206.14</v>
      </c>
      <c r="F32" s="11">
        <f>E32</f>
        <v>206.14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</row>
    <row r="33" spans="1:12" x14ac:dyDescent="0.2">
      <c r="A33" t="s">
        <v>172</v>
      </c>
      <c r="B33" s="18">
        <f>4225/1000</f>
        <v>4.2249999999999996</v>
      </c>
      <c r="C33" s="18">
        <f>16027/1000</f>
        <v>16.027000000000001</v>
      </c>
      <c r="D33" s="18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</row>
    <row r="34" spans="1:12" x14ac:dyDescent="0.2">
      <c r="A34" t="s">
        <v>331</v>
      </c>
      <c r="B34" s="18">
        <f>SUM(B28,B29,B33)</f>
        <v>159.31</v>
      </c>
      <c r="C34" s="18">
        <f t="shared" ref="C34:L34" si="9">SUM(C28,C29,C33)</f>
        <v>316.42399999999998</v>
      </c>
      <c r="D34" s="18">
        <f t="shared" si="9"/>
        <v>420.06700000000001</v>
      </c>
      <c r="E34" s="18">
        <f t="shared" si="9"/>
        <v>383.27327723882644</v>
      </c>
      <c r="F34" s="18">
        <f t="shared" si="9"/>
        <v>308.31894680710968</v>
      </c>
      <c r="G34" s="18">
        <f t="shared" si="9"/>
        <v>256.46758614168067</v>
      </c>
      <c r="H34" s="18">
        <f t="shared" si="9"/>
        <v>259.29297527040274</v>
      </c>
      <c r="I34" s="18">
        <f t="shared" si="9"/>
        <v>260.98105801990988</v>
      </c>
      <c r="J34" s="18">
        <f t="shared" si="9"/>
        <v>276.76327857692365</v>
      </c>
      <c r="K34" s="18">
        <f t="shared" si="9"/>
        <v>299.01109540507696</v>
      </c>
      <c r="L34" s="18">
        <f t="shared" si="9"/>
        <v>335.10378658623466</v>
      </c>
    </row>
    <row r="35" spans="1:12" x14ac:dyDescent="0.2">
      <c r="A35" s="8" t="s">
        <v>173</v>
      </c>
      <c r="B35" s="18"/>
      <c r="C35" s="18"/>
      <c r="D35" s="18"/>
      <c r="E35" s="11"/>
      <c r="F35" s="11"/>
      <c r="G35" s="11"/>
      <c r="H35" s="11"/>
      <c r="I35" s="11"/>
      <c r="J35" s="11"/>
      <c r="K35" s="11"/>
      <c r="L35" s="11"/>
    </row>
    <row r="36" spans="1:12" x14ac:dyDescent="0.2">
      <c r="A36" t="s">
        <v>174</v>
      </c>
      <c r="B36" s="18">
        <f>58487/1000</f>
        <v>58.487000000000002</v>
      </c>
      <c r="C36" s="18">
        <f>40717/1000</f>
        <v>40.716999999999999</v>
      </c>
      <c r="D36" s="18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</row>
    <row r="37" spans="1:12" x14ac:dyDescent="0.2">
      <c r="A37" t="s">
        <v>175</v>
      </c>
      <c r="B37" s="18">
        <f>19616/1000</f>
        <v>19.616</v>
      </c>
      <c r="C37" s="18">
        <f>29559/1000</f>
        <v>29.559000000000001</v>
      </c>
      <c r="D37" s="18">
        <v>0</v>
      </c>
      <c r="E37" s="11">
        <f>C37</f>
        <v>29.559000000000001</v>
      </c>
      <c r="F37" s="11">
        <f>E37</f>
        <v>29.559000000000001</v>
      </c>
      <c r="G37" s="11">
        <f t="shared" ref="G37:L37" si="10">F37</f>
        <v>29.559000000000001</v>
      </c>
      <c r="H37" s="11">
        <f t="shared" si="10"/>
        <v>29.559000000000001</v>
      </c>
      <c r="I37" s="11">
        <f t="shared" si="10"/>
        <v>29.559000000000001</v>
      </c>
      <c r="J37" s="11">
        <f t="shared" si="10"/>
        <v>29.559000000000001</v>
      </c>
      <c r="K37" s="11">
        <f t="shared" si="10"/>
        <v>29.559000000000001</v>
      </c>
      <c r="L37" s="11">
        <f t="shared" si="10"/>
        <v>29.559000000000001</v>
      </c>
    </row>
    <row r="38" spans="1:12" x14ac:dyDescent="0.2">
      <c r="A38" t="s">
        <v>176</v>
      </c>
      <c r="B38" s="18">
        <f>8569/1000</f>
        <v>8.5690000000000008</v>
      </c>
      <c r="C38" s="18">
        <f>21281/1000</f>
        <v>21.280999999999999</v>
      </c>
      <c r="D38" s="18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</row>
    <row r="39" spans="1:12" x14ac:dyDescent="0.2">
      <c r="A39" s="8" t="s">
        <v>181</v>
      </c>
      <c r="B39" s="18">
        <v>0</v>
      </c>
      <c r="C39" s="18">
        <f>1139765/1000</f>
        <v>1139.7650000000001</v>
      </c>
      <c r="D39" s="18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</row>
    <row r="40" spans="1:12" x14ac:dyDescent="0.2">
      <c r="A40" s="8" t="s">
        <v>177</v>
      </c>
      <c r="B40" s="18"/>
      <c r="C40" s="18"/>
      <c r="D40" s="18"/>
      <c r="E40" s="11"/>
      <c r="F40" s="11"/>
      <c r="G40" s="11"/>
      <c r="H40" s="11"/>
      <c r="I40" s="11"/>
      <c r="J40" s="11"/>
      <c r="K40" s="11"/>
      <c r="L40" s="11"/>
    </row>
    <row r="41" spans="1:12" x14ac:dyDescent="0.2">
      <c r="A41" t="s">
        <v>178</v>
      </c>
      <c r="B41" s="18">
        <f>339471/1000</f>
        <v>339.471</v>
      </c>
      <c r="C41" s="18">
        <f>570529/1000</f>
        <v>570.529</v>
      </c>
      <c r="D41" s="18">
        <f>2370831/1000</f>
        <v>2370.8310000000001</v>
      </c>
      <c r="E41" s="11">
        <f>D41+'P&amp;L'!F48</f>
        <v>2494.1168697156795</v>
      </c>
      <c r="F41" s="11">
        <f>E41+'P&amp;L'!G48</f>
        <v>2595.5454504562263</v>
      </c>
      <c r="G41" s="11">
        <f>F41+'P&amp;L'!H48</f>
        <v>2690.8063276526059</v>
      </c>
      <c r="H41" s="11">
        <f>G41+'P&amp;L'!I48</f>
        <v>2788.3738380329046</v>
      </c>
      <c r="I41" s="11">
        <f>H41+'P&amp;L'!J48</f>
        <v>2887.3194905061387</v>
      </c>
      <c r="J41" s="11">
        <f>I41+'P&amp;L'!K48</f>
        <v>2999.1496668428881</v>
      </c>
      <c r="K41" s="11">
        <f>J41+'P&amp;L'!L48</f>
        <v>3129.1428466554735</v>
      </c>
      <c r="L41" s="11">
        <f>K41+'P&amp;L'!M48</f>
        <v>3288.6019143095168</v>
      </c>
    </row>
    <row r="42" spans="1:12" x14ac:dyDescent="0.2">
      <c r="A42" s="23" t="s">
        <v>187</v>
      </c>
      <c r="B42" s="11">
        <f>SUM(B36:B41,B28:B33)</f>
        <v>24866.179999999997</v>
      </c>
      <c r="C42" s="11">
        <f t="shared" ref="C42:L42" si="11">SUM(C36:C41,C28:C33)</f>
        <v>45846.207999999999</v>
      </c>
      <c r="D42" s="11">
        <f t="shared" si="11"/>
        <v>64098.561000000002</v>
      </c>
      <c r="E42" s="11">
        <f t="shared" si="11"/>
        <v>66658.673066954507</v>
      </c>
      <c r="F42" s="11">
        <f t="shared" si="11"/>
        <v>71768.794030863341</v>
      </c>
      <c r="G42" s="11">
        <f t="shared" si="11"/>
        <v>77096.401998082307</v>
      </c>
      <c r="H42" s="11">
        <f t="shared" si="11"/>
        <v>83126.360424334358</v>
      </c>
      <c r="I42" s="11">
        <f t="shared" si="11"/>
        <v>89630.924928439592</v>
      </c>
      <c r="J42" s="11">
        <f t="shared" si="11"/>
        <v>96674.782555726444</v>
      </c>
      <c r="K42" s="11">
        <f t="shared" si="11"/>
        <v>104296.56840119172</v>
      </c>
      <c r="L42" s="11">
        <f t="shared" si="11"/>
        <v>112559.22859675743</v>
      </c>
    </row>
    <row r="43" spans="1:12" x14ac:dyDescent="0.2"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</row>
    <row r="44" spans="1:12" x14ac:dyDescent="0.2"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</row>
    <row r="45" spans="1:12" x14ac:dyDescent="0.2"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</row>
    <row r="46" spans="1:12" x14ac:dyDescent="0.2"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</row>
    <row r="47" spans="1:12" x14ac:dyDescent="0.2"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</row>
    <row r="48" spans="1:12" x14ac:dyDescent="0.2"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</row>
    <row r="49" spans="2:12" x14ac:dyDescent="0.2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</row>
    <row r="50" spans="2:12" x14ac:dyDescent="0.2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1" spans="2:12" x14ac:dyDescent="0.2"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</row>
    <row r="52" spans="2:12" x14ac:dyDescent="0.2"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</row>
    <row r="53" spans="2:12" x14ac:dyDescent="0.2"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</row>
    <row r="54" spans="2:12" x14ac:dyDescent="0.2"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</row>
    <row r="55" spans="2:12" x14ac:dyDescent="0.2"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</row>
  </sheetData>
  <pageMargins left="0.7" right="0.7" top="0.75" bottom="0.75" header="0.3" footer="0.3"/>
  <ignoredErrors>
    <ignoredError sqref="E17:L17" formula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4A535-4DB4-CA4B-9DD3-8F051F7B83D3}">
  <dimension ref="A1:S86"/>
  <sheetViews>
    <sheetView workbookViewId="0">
      <pane ySplit="1" topLeftCell="A2" activePane="bottomLeft" state="frozen"/>
      <selection pane="bottomLeft" activeCell="F17" sqref="F17"/>
    </sheetView>
  </sheetViews>
  <sheetFormatPr baseColWidth="10" defaultRowHeight="16" x14ac:dyDescent="0.2"/>
  <cols>
    <col min="1" max="1" width="84" bestFit="1" customWidth="1"/>
    <col min="2" max="2" width="13.1640625" bestFit="1" customWidth="1"/>
    <col min="3" max="3" width="12.1640625" bestFit="1" customWidth="1"/>
    <col min="4" max="4" width="11.5" bestFit="1" customWidth="1"/>
    <col min="5" max="5" width="13.5" bestFit="1" customWidth="1"/>
  </cols>
  <sheetData>
    <row r="1" spans="1:13" x14ac:dyDescent="0.2">
      <c r="A1" s="44" t="s">
        <v>92</v>
      </c>
      <c r="B1" s="45" t="s">
        <v>1</v>
      </c>
      <c r="C1" s="45" t="s">
        <v>140</v>
      </c>
      <c r="D1" s="45" t="s">
        <v>141</v>
      </c>
      <c r="E1" s="46" t="s">
        <v>55</v>
      </c>
      <c r="F1" s="45" t="s">
        <v>142</v>
      </c>
      <c r="G1" s="45" t="s">
        <v>2</v>
      </c>
      <c r="H1" s="45" t="s">
        <v>3</v>
      </c>
      <c r="I1" s="45" t="s">
        <v>4</v>
      </c>
      <c r="J1" s="45" t="s">
        <v>5</v>
      </c>
      <c r="K1" s="45" t="s">
        <v>6</v>
      </c>
      <c r="L1" s="45" t="s">
        <v>143</v>
      </c>
      <c r="M1" s="45" t="s">
        <v>144</v>
      </c>
    </row>
    <row r="2" spans="1:13" x14ac:dyDescent="0.2">
      <c r="A2" s="8" t="s">
        <v>195</v>
      </c>
    </row>
    <row r="3" spans="1:13" x14ac:dyDescent="0.2">
      <c r="A3" s="2" t="s">
        <v>196</v>
      </c>
      <c r="B3" s="18">
        <f>'P&amp;L'!B48</f>
        <v>-768.84699999999998</v>
      </c>
      <c r="C3" s="18">
        <f>'P&amp;L'!C48</f>
        <v>267.56200000000001</v>
      </c>
      <c r="D3" s="18">
        <f>'P&amp;L'!D48</f>
        <v>155.667</v>
      </c>
      <c r="E3" s="18">
        <f>'P&amp;L'!E48</f>
        <v>-417.30900000000003</v>
      </c>
      <c r="F3" s="19">
        <f>'P&amp;L'!F48</f>
        <v>123.28586971567941</v>
      </c>
      <c r="G3" s="19">
        <f>'P&amp;L'!G48</f>
        <v>101.42858074054678</v>
      </c>
      <c r="H3" s="19">
        <f>'P&amp;L'!H48</f>
        <v>95.260877196379539</v>
      </c>
      <c r="I3" s="19">
        <f>'P&amp;L'!I48</f>
        <v>97.567510380298728</v>
      </c>
      <c r="J3" s="19">
        <f>'P&amp;L'!J48</f>
        <v>98.945652473234219</v>
      </c>
      <c r="K3" s="19">
        <f>'P&amp;L'!K48</f>
        <v>111.83017633674947</v>
      </c>
      <c r="L3" s="19">
        <f>'P&amp;L'!L48</f>
        <v>129.99317981258551</v>
      </c>
      <c r="M3" s="19">
        <f>'P&amp;L'!M48</f>
        <v>159.45906765404325</v>
      </c>
    </row>
    <row r="4" spans="1:13" ht="17" x14ac:dyDescent="0.2">
      <c r="A4" s="47" t="s">
        <v>197</v>
      </c>
      <c r="B4" s="18"/>
      <c r="C4" s="18"/>
      <c r="D4" s="18"/>
      <c r="E4" s="18"/>
      <c r="F4" s="11"/>
      <c r="G4" s="11"/>
      <c r="H4" s="11"/>
      <c r="I4" s="11"/>
      <c r="J4" s="11"/>
      <c r="K4" s="11"/>
      <c r="L4" s="11"/>
      <c r="M4" s="11"/>
    </row>
    <row r="5" spans="1:13" x14ac:dyDescent="0.2">
      <c r="A5" s="2" t="s">
        <v>198</v>
      </c>
      <c r="B5" s="18">
        <f>13277/1000</f>
        <v>13.276999999999999</v>
      </c>
      <c r="C5" s="18">
        <f>34887/1000</f>
        <v>34.887</v>
      </c>
      <c r="D5" s="18">
        <f>50854/1000</f>
        <v>50.853999999999999</v>
      </c>
      <c r="E5" s="18">
        <f>28089/1000</f>
        <v>28.088999999999999</v>
      </c>
      <c r="F5" s="19">
        <f>'Expense Build'!F11</f>
        <v>56.406509675897802</v>
      </c>
      <c r="G5" s="19">
        <f>'Expense Build'!G11</f>
        <v>51.11047056837397</v>
      </c>
      <c r="H5" s="19">
        <f>'Expense Build'!H11</f>
        <v>49.616030923517428</v>
      </c>
      <c r="I5" s="19">
        <f>'Expense Build'!I11</f>
        <v>50.174930042371827</v>
      </c>
      <c r="J5" s="19">
        <f>'Expense Build'!J11</f>
        <v>50.50885500571998</v>
      </c>
      <c r="K5" s="19">
        <f>'Expense Build'!K11</f>
        <v>53.630785741989946</v>
      </c>
      <c r="L5" s="19">
        <f>'Expense Build'!L11</f>
        <v>58.031696432586571</v>
      </c>
      <c r="M5" s="19">
        <f>'Expense Build'!M11</f>
        <v>65.171305307402378</v>
      </c>
    </row>
    <row r="6" spans="1:13" x14ac:dyDescent="0.2">
      <c r="A6" s="2" t="s">
        <v>199</v>
      </c>
      <c r="B6" s="18">
        <f>-353422/1000</f>
        <v>-353.42200000000003</v>
      </c>
      <c r="C6" s="18">
        <f>-7738/1000</f>
        <v>-7.7380000000000004</v>
      </c>
      <c r="D6" s="18">
        <f>-2268/1000</f>
        <v>-2.2679999999999998</v>
      </c>
      <c r="E6" s="18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</row>
    <row r="7" spans="1:13" x14ac:dyDescent="0.2">
      <c r="A7" s="2" t="s">
        <v>200</v>
      </c>
      <c r="B7" s="18">
        <f>269277/1000</f>
        <v>269.27699999999999</v>
      </c>
      <c r="C7" s="18">
        <f>-13010/1000</f>
        <v>-13.01</v>
      </c>
      <c r="D7" s="18">
        <f>-12878/1000</f>
        <v>-12.878</v>
      </c>
      <c r="E7" s="18">
        <f>7189/1000</f>
        <v>7.1890000000000001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</row>
    <row r="8" spans="1:13" x14ac:dyDescent="0.2">
      <c r="A8" s="2" t="s">
        <v>201</v>
      </c>
      <c r="B8" s="18">
        <f>486938/1000</f>
        <v>486.93799999999999</v>
      </c>
      <c r="C8" s="18">
        <f>-25343/1000</f>
        <v>-25.343</v>
      </c>
      <c r="D8" s="18">
        <f>-10024/1000</f>
        <v>-10.023999999999999</v>
      </c>
      <c r="E8" s="18">
        <f>170106/1000</f>
        <v>170.10599999999999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</row>
    <row r="9" spans="1:13" x14ac:dyDescent="0.2">
      <c r="A9" s="2" t="s">
        <v>202</v>
      </c>
      <c r="B9" s="18">
        <f>-7235/1000</f>
        <v>-7.2350000000000003</v>
      </c>
      <c r="C9" s="18">
        <f>-4476/1000</f>
        <v>-4.476</v>
      </c>
      <c r="D9" s="18">
        <f>-1500/1000</f>
        <v>-1.5</v>
      </c>
      <c r="E9" s="18">
        <f>-9416/1000</f>
        <v>-9.4160000000000004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</row>
    <row r="10" spans="1:13" x14ac:dyDescent="0.2">
      <c r="A10" s="2" t="s">
        <v>264</v>
      </c>
      <c r="B10" s="18">
        <v>0</v>
      </c>
      <c r="C10" s="18">
        <v>0</v>
      </c>
      <c r="D10" s="18">
        <v>0</v>
      </c>
      <c r="E10" s="18">
        <f>-3826/1000</f>
        <v>-3.8260000000000001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</row>
    <row r="11" spans="1:13" x14ac:dyDescent="0.2">
      <c r="A11" s="2" t="s">
        <v>203</v>
      </c>
      <c r="B11" s="18">
        <f>-786/1000</f>
        <v>-0.78600000000000003</v>
      </c>
      <c r="C11" s="18">
        <f>-32893/1000</f>
        <v>-32.893000000000001</v>
      </c>
      <c r="D11" s="18">
        <f>-2806/1000</f>
        <v>-2.806</v>
      </c>
      <c r="E11" s="18">
        <f>-5751/1000</f>
        <v>-5.7510000000000003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</row>
    <row r="12" spans="1:13" x14ac:dyDescent="0.2">
      <c r="A12" s="2" t="s">
        <v>204</v>
      </c>
      <c r="B12" s="18">
        <f>26877/1000</f>
        <v>26.876999999999999</v>
      </c>
      <c r="C12" s="18">
        <f>1749/1000</f>
        <v>1.7490000000000001</v>
      </c>
      <c r="D12" s="18">
        <f>-434/1000</f>
        <v>-0.434</v>
      </c>
      <c r="E12" s="18">
        <f>1416/1000</f>
        <v>1.4159999999999999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</row>
    <row r="13" spans="1:13" x14ac:dyDescent="0.2">
      <c r="A13" s="2" t="s">
        <v>205</v>
      </c>
      <c r="B13" s="18">
        <v>0</v>
      </c>
      <c r="C13" s="18">
        <f>-21521/1000</f>
        <v>-21.521000000000001</v>
      </c>
      <c r="D13" s="18">
        <v>0</v>
      </c>
      <c r="E13" s="18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</row>
    <row r="14" spans="1:13" x14ac:dyDescent="0.2">
      <c r="A14" s="2" t="s">
        <v>263</v>
      </c>
      <c r="B14" s="18">
        <v>0</v>
      </c>
      <c r="C14" s="18">
        <v>0</v>
      </c>
      <c r="D14" s="18">
        <v>0</v>
      </c>
      <c r="E14" s="18">
        <f>8763/1000</f>
        <v>8.7629999999999999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</row>
    <row r="15" spans="1:13" x14ac:dyDescent="0.2">
      <c r="A15" s="2" t="s">
        <v>262</v>
      </c>
      <c r="B15" s="18">
        <v>0</v>
      </c>
      <c r="C15" s="18">
        <v>0</v>
      </c>
      <c r="D15" s="18">
        <v>0</v>
      </c>
      <c r="E15" s="18">
        <f>5565/1000</f>
        <v>5.5650000000000004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</row>
    <row r="16" spans="1:13" x14ac:dyDescent="0.2">
      <c r="A16" s="2" t="s">
        <v>206</v>
      </c>
      <c r="B16" s="18">
        <f>15520/1000</f>
        <v>15.52</v>
      </c>
      <c r="C16" s="18">
        <v>0</v>
      </c>
      <c r="D16" s="18">
        <v>0</v>
      </c>
      <c r="E16" s="18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</row>
    <row r="17" spans="1:13" x14ac:dyDescent="0.2">
      <c r="A17" s="2" t="s">
        <v>210</v>
      </c>
      <c r="B17" s="18">
        <f>69266/1000</f>
        <v>69.266000000000005</v>
      </c>
      <c r="C17" s="18">
        <f>107999/1000</f>
        <v>107.999</v>
      </c>
      <c r="D17" s="18">
        <f>50134/1000</f>
        <v>50.134</v>
      </c>
      <c r="E17" s="18">
        <f>447682/1000</f>
        <v>447.68200000000002</v>
      </c>
      <c r="F17" s="11">
        <f>E17*2</f>
        <v>895.36400000000003</v>
      </c>
      <c r="G17" s="11">
        <f>'Expense Build'!G9*'Drivers &amp; Assumptons'!$C$44</f>
        <v>126.52708967633347</v>
      </c>
      <c r="H17" s="11">
        <f>'Expense Build'!H9*'Drivers &amp; Assumptons'!$C$44</f>
        <v>122.82751311486008</v>
      </c>
      <c r="I17" s="11">
        <f>'Expense Build'!I9*'Drivers &amp; Assumptons'!$C$44</f>
        <v>124.21110199879948</v>
      </c>
      <c r="J17" s="11">
        <f>'Expense Build'!J9*'Drivers &amp; Assumptons'!$C$44</f>
        <v>125.03775362835545</v>
      </c>
      <c r="K17" s="11">
        <f>'Expense Build'!K9*'Drivers &amp; Assumptons'!$C$44</f>
        <v>132.76628372871718</v>
      </c>
      <c r="L17" s="11">
        <f>'Expense Build'!L9*'Drivers &amp; Assumptons'!$C$44</f>
        <v>143.66100677498105</v>
      </c>
      <c r="M17" s="11">
        <f>'Expense Build'!M9*'Drivers &amp; Assumptons'!$C$44</f>
        <v>161.33554434648096</v>
      </c>
    </row>
    <row r="18" spans="1:13" x14ac:dyDescent="0.2">
      <c r="A18" s="2" t="s">
        <v>207</v>
      </c>
      <c r="B18" s="18">
        <f>5547/1000</f>
        <v>5.5469999999999997</v>
      </c>
      <c r="C18" s="18">
        <f>4811/1000</f>
        <v>4.8109999999999999</v>
      </c>
      <c r="D18" s="18">
        <v>0</v>
      </c>
      <c r="E18" s="18">
        <f>2306/1000</f>
        <v>2.306</v>
      </c>
      <c r="F18" s="11">
        <f>E18</f>
        <v>2.306</v>
      </c>
      <c r="G18" s="11">
        <f t="shared" ref="G18:M18" si="0">F18</f>
        <v>2.306</v>
      </c>
      <c r="H18" s="11">
        <f t="shared" si="0"/>
        <v>2.306</v>
      </c>
      <c r="I18" s="11">
        <f t="shared" si="0"/>
        <v>2.306</v>
      </c>
      <c r="J18" s="11">
        <f t="shared" si="0"/>
        <v>2.306</v>
      </c>
      <c r="K18" s="11">
        <f t="shared" si="0"/>
        <v>2.306</v>
      </c>
      <c r="L18" s="11">
        <f t="shared" si="0"/>
        <v>2.306</v>
      </c>
      <c r="M18" s="11">
        <f t="shared" si="0"/>
        <v>2.306</v>
      </c>
    </row>
    <row r="19" spans="1:13" x14ac:dyDescent="0.2">
      <c r="A19" s="23" t="s">
        <v>208</v>
      </c>
      <c r="B19" s="18"/>
      <c r="C19" s="18"/>
      <c r="D19" s="18"/>
      <c r="E19" s="18"/>
      <c r="F19" s="11"/>
      <c r="G19" s="11"/>
      <c r="H19" s="11"/>
      <c r="I19" s="11"/>
      <c r="J19" s="11"/>
      <c r="K19" s="11"/>
      <c r="L19" s="11"/>
      <c r="M19" s="11"/>
    </row>
    <row r="20" spans="1:13" x14ac:dyDescent="0.2">
      <c r="A20" s="6" t="s">
        <v>209</v>
      </c>
      <c r="B20" s="18">
        <f>18735/1000</f>
        <v>18.734999999999999</v>
      </c>
      <c r="C20" s="18">
        <f>2244/1000</f>
        <v>2.2440000000000002</v>
      </c>
      <c r="D20" s="18">
        <f>-4569/1000</f>
        <v>-4.569</v>
      </c>
      <c r="E20" s="18">
        <f>-8635/1000</f>
        <v>-8.6349999999999998</v>
      </c>
      <c r="F20" s="11">
        <f>-('Balance Sheet'!E10-'Balance Sheet'!C10)</f>
        <v>-11.695598874031013</v>
      </c>
      <c r="G20" s="11">
        <f>-('Balance Sheet'!F10-'Balance Sheet'!E10)</f>
        <v>1.7006960467163665</v>
      </c>
      <c r="H20" s="11">
        <f>-('Balance Sheet'!G10-'Balance Sheet'!F10)</f>
        <v>0.47990347965010649</v>
      </c>
      <c r="I20" s="11">
        <f>-('Balance Sheet'!H10-'Balance Sheet'!G10)</f>
        <v>-0.17947705873217323</v>
      </c>
      <c r="J20" s="11">
        <f>-('Balance Sheet'!I10-'Balance Sheet'!H10)</f>
        <v>-0.10723199990334464</v>
      </c>
      <c r="K20" s="11">
        <f>-('Balance Sheet'!J10-'Balance Sheet'!I10)</f>
        <v>-1.0025332429576963</v>
      </c>
      <c r="L20" s="11">
        <f>-('Balance Sheet'!K10-'Balance Sheet'!J10)</f>
        <v>-1.4132470062044007</v>
      </c>
      <c r="M20" s="11">
        <f>-('Balance Sheet'!L10-'Balance Sheet'!K10)</f>
        <v>-2.292714298738904</v>
      </c>
    </row>
    <row r="21" spans="1:13" x14ac:dyDescent="0.2">
      <c r="A21" s="6" t="s">
        <v>160</v>
      </c>
      <c r="B21" s="18">
        <f>-77571/1000</f>
        <v>-77.570999999999998</v>
      </c>
      <c r="C21" s="18">
        <f>-51161/1000</f>
        <v>-51.161000000000001</v>
      </c>
      <c r="D21" s="18">
        <f>-21764/1000</f>
        <v>-21.763999999999999</v>
      </c>
      <c r="E21" s="18">
        <f>-42104/1000</f>
        <v>-42.103999999999999</v>
      </c>
      <c r="F21" s="11">
        <f>-('Balance Sheet'!E12-'Balance Sheet'!C12)</f>
        <v>-64.955914838168297</v>
      </c>
      <c r="G21" s="11">
        <f>-('Balance Sheet'!F12-'Balance Sheet'!E12)</f>
        <v>23.348791037524364</v>
      </c>
      <c r="H21" s="11">
        <f>('Balance Sheet'!G12-'Balance Sheet'!F12)*-1</f>
        <v>6.5885765338054796</v>
      </c>
      <c r="I21" s="11">
        <f>('Balance Sheet'!H12-'Balance Sheet'!G12)*-1</f>
        <v>-2.4640336810671783</v>
      </c>
      <c r="J21" s="11">
        <f>('Balance Sheet'!I12-'Balance Sheet'!H12)*-1</f>
        <v>-1.472184029070462</v>
      </c>
      <c r="K21" s="11">
        <f>('Balance Sheet'!J12-'Balance Sheet'!I12)*-1</f>
        <v>-13.763740583266468</v>
      </c>
      <c r="L21" s="11">
        <f>('Balance Sheet'!K12-'Balance Sheet'!J12)*-1</f>
        <v>-19.402414144481554</v>
      </c>
      <c r="M21" s="11">
        <f>('Balance Sheet'!L12-'Balance Sheet'!K12)*-1</f>
        <v>-31.476586997045445</v>
      </c>
    </row>
    <row r="22" spans="1:13" x14ac:dyDescent="0.2">
      <c r="A22" s="6" t="s">
        <v>169</v>
      </c>
      <c r="B22" s="18">
        <f>227300/1000</f>
        <v>227.3</v>
      </c>
      <c r="C22" s="18">
        <f>-123833/1000</f>
        <v>-123.833</v>
      </c>
      <c r="D22" s="18">
        <f>132878/1000</f>
        <v>132.87799999999999</v>
      </c>
      <c r="E22" s="18">
        <f>123981/1000</f>
        <v>123.98099999999999</v>
      </c>
      <c r="F22" s="11">
        <f>'Balance Sheet'!E29-'Balance Sheet'!C29</f>
        <v>87.759277238826428</v>
      </c>
      <c r="G22" s="11">
        <f>('Expense Build'!G9-'Cash Flow Statement'!G17-'Cash Flow Statement'!G5)*'Drivers &amp; Assumptons'!$C$37</f>
        <v>126.43904384871676</v>
      </c>
      <c r="H22" s="11">
        <f>('Expense Build'!H9-'Cash Flow Statement'!H17-'Cash Flow Statement'!H5)*'Drivers &amp; Assumptons'!$C$37</f>
        <v>122.74204169467676</v>
      </c>
      <c r="I22" s="11">
        <f>('Expense Build'!I9-'Cash Flow Statement'!I17-'Cash Flow Statement'!I5)*'Drivers &amp; Assumptons'!$C$37</f>
        <v>124.12466778694299</v>
      </c>
      <c r="J22" s="11">
        <f>('Expense Build'!J9-'Cash Flow Statement'!J17-'Cash Flow Statement'!J5)*'Drivers &amp; Assumptons'!$C$37</f>
        <v>124.95074417820763</v>
      </c>
      <c r="K22" s="11">
        <f>('Expense Build'!K9-'Cash Flow Statement'!K17-'Cash Flow Statement'!K5)*'Drivers &amp; Assumptons'!$C$37</f>
        <v>132.67389626165075</v>
      </c>
      <c r="L22" s="11">
        <f>('Expense Build'!L9-'Cash Flow Statement'!L17-'Cash Flow Statement'!L5)*'Drivers &amp; Assumptons'!$C$37</f>
        <v>143.56103804678133</v>
      </c>
      <c r="M22" s="11">
        <f>('Expense Build'!M9-'Cash Flow Statement'!M17-'Cash Flow Statement'!M5)*'Drivers &amp; Assumptons'!$C$37</f>
        <v>161.22327651860064</v>
      </c>
    </row>
    <row r="23" spans="1:13" x14ac:dyDescent="0.2">
      <c r="A23" s="6" t="s">
        <v>172</v>
      </c>
      <c r="B23" s="18">
        <f>2431/1000</f>
        <v>2.431</v>
      </c>
      <c r="C23" s="18">
        <f>291/1000</f>
        <v>0.29099999999999998</v>
      </c>
      <c r="D23" s="18">
        <f>10891/1000</f>
        <v>10.891</v>
      </c>
      <c r="E23" s="18">
        <f>-4340/1000</f>
        <v>-4.34</v>
      </c>
      <c r="F23" s="11">
        <f>'Balance Sheet'!E33-'Balance Sheet'!C33</f>
        <v>-16.027000000000001</v>
      </c>
      <c r="G23" s="11">
        <f>'Balance Sheet'!F33-'Balance Sheet'!E33</f>
        <v>0</v>
      </c>
      <c r="H23" s="11">
        <f>'Balance Sheet'!G33-'Balance Sheet'!F33</f>
        <v>0</v>
      </c>
      <c r="I23" s="11">
        <f>'Balance Sheet'!H33-'Balance Sheet'!G33</f>
        <v>0</v>
      </c>
      <c r="J23" s="11">
        <f>'Balance Sheet'!I33-'Balance Sheet'!H33</f>
        <v>0</v>
      </c>
      <c r="K23" s="11">
        <f>'Balance Sheet'!J33-'Balance Sheet'!I33</f>
        <v>0</v>
      </c>
      <c r="L23" s="11">
        <f>'Balance Sheet'!K33-'Balance Sheet'!J33</f>
        <v>0</v>
      </c>
      <c r="M23" s="11">
        <f>'Balance Sheet'!L33-'Balance Sheet'!K33</f>
        <v>0</v>
      </c>
    </row>
    <row r="24" spans="1:13" x14ac:dyDescent="0.2">
      <c r="A24" s="9" t="s">
        <v>211</v>
      </c>
      <c r="B24" s="18">
        <f>SUM(B3:B23)</f>
        <v>-72.692999999999969</v>
      </c>
      <c r="C24" s="18">
        <f t="shared" ref="C24:E24" si="1">SUM(C3:C23)</f>
        <v>139.56800000000001</v>
      </c>
      <c r="D24" s="18">
        <f t="shared" si="1"/>
        <v>344.18099999999998</v>
      </c>
      <c r="E24" s="18">
        <f t="shared" si="1"/>
        <v>303.71600000000007</v>
      </c>
      <c r="F24" s="11">
        <f t="shared" ref="F24" si="2">SUM(F3:F23)</f>
        <v>1072.4431429182043</v>
      </c>
      <c r="G24" s="11">
        <f t="shared" ref="G24" si="3">SUM(G3:G23)</f>
        <v>432.86067191821178</v>
      </c>
      <c r="H24" s="11">
        <f t="shared" ref="H24" si="4">SUM(H3:H23)</f>
        <v>399.8209429428893</v>
      </c>
      <c r="I24" s="11">
        <f t="shared" ref="I24" si="5">SUM(I3:I23)</f>
        <v>395.74069946861368</v>
      </c>
      <c r="J24" s="11">
        <f t="shared" ref="J24" si="6">SUM(J3:J23)</f>
        <v>400.16958925654353</v>
      </c>
      <c r="K24" s="11">
        <f t="shared" ref="K24" si="7">SUM(K3:K23)</f>
        <v>418.4408682428832</v>
      </c>
      <c r="L24" s="11">
        <f t="shared" ref="L24" si="8">SUM(L3:L23)</f>
        <v>456.73725991624849</v>
      </c>
      <c r="M24" s="11">
        <f t="shared" ref="M24" si="9">SUM(M3:M23)</f>
        <v>515.72589253074284</v>
      </c>
    </row>
    <row r="25" spans="1:13" x14ac:dyDescent="0.2">
      <c r="B25" s="18"/>
      <c r="C25" s="18"/>
      <c r="D25" s="18"/>
      <c r="E25" s="18"/>
      <c r="F25" s="11"/>
      <c r="G25" s="11"/>
      <c r="H25" s="11"/>
      <c r="I25" s="11"/>
      <c r="J25" s="11"/>
      <c r="K25" s="11"/>
      <c r="L25" s="11"/>
      <c r="M25" s="11"/>
    </row>
    <row r="26" spans="1:13" x14ac:dyDescent="0.2">
      <c r="A26" s="9" t="s">
        <v>212</v>
      </c>
      <c r="B26" s="18"/>
      <c r="C26" s="18"/>
      <c r="D26" s="18"/>
      <c r="E26" s="18"/>
      <c r="F26" s="11"/>
      <c r="G26" s="11"/>
      <c r="H26" s="11"/>
      <c r="I26" s="11"/>
      <c r="J26" s="11"/>
      <c r="K26" s="11"/>
      <c r="L26" s="11"/>
      <c r="M26" s="11"/>
    </row>
    <row r="27" spans="1:13" x14ac:dyDescent="0.2">
      <c r="A27" s="2" t="s">
        <v>213</v>
      </c>
      <c r="B27" s="18">
        <f>1000/1000</f>
        <v>1</v>
      </c>
      <c r="C27" s="18">
        <v>0</v>
      </c>
      <c r="D27" s="18">
        <v>0</v>
      </c>
      <c r="E27" s="18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</row>
    <row r="28" spans="1:13" x14ac:dyDescent="0.2">
      <c r="A28" s="2" t="s">
        <v>214</v>
      </c>
      <c r="B28" s="18">
        <f>-102850973/1000</f>
        <v>-102850.973</v>
      </c>
      <c r="C28" s="18">
        <f>-311639/1000</f>
        <v>-311.63900000000001</v>
      </c>
      <c r="D28" s="18">
        <f>-99313/1000</f>
        <v>-99.313000000000002</v>
      </c>
      <c r="E28" s="18">
        <v>0</v>
      </c>
      <c r="F28" s="11">
        <f>-('Balance Sheet'!E31-'Balance Sheet'!C31)</f>
        <v>-19818.220920000007</v>
      </c>
      <c r="G28" s="11">
        <f>-('Balance Sheet'!F31-'Balance Sheet'!E31)</f>
        <v>-5083.6467135999992</v>
      </c>
      <c r="H28" s="11">
        <f>-('Balance Sheet'!G31-'Balance Sheet'!F31)</f>
        <v>-5490.3384506880102</v>
      </c>
      <c r="I28" s="11">
        <f>-('Balance Sheet'!H31-'Balance Sheet'!G31)</f>
        <v>-5929.5655267430411</v>
      </c>
      <c r="J28" s="11">
        <f>-('Balance Sheet'!I31-'Balance Sheet'!H31)</f>
        <v>-6403.930768882492</v>
      </c>
      <c r="K28" s="11">
        <f>-('Balance Sheet'!J31-'Balance Sheet'!I31)</f>
        <v>-6916.2452303930913</v>
      </c>
      <c r="L28" s="11">
        <f>-('Balance Sheet'!K31-'Balance Sheet'!J31)</f>
        <v>-7469.5448488245311</v>
      </c>
      <c r="M28" s="11">
        <f>-('Balance Sheet'!L31-'Balance Sheet'!K31)</f>
        <v>-8067.1084367305011</v>
      </c>
    </row>
    <row r="29" spans="1:13" x14ac:dyDescent="0.2">
      <c r="A29" s="2" t="s">
        <v>215</v>
      </c>
      <c r="B29" s="18">
        <f>94442236/1000</f>
        <v>94442.236000000004</v>
      </c>
      <c r="C29" s="18">
        <f>8827550/1000</f>
        <v>8827.5499999999993</v>
      </c>
      <c r="D29" s="18">
        <f>341561/1000</f>
        <v>341.56099999999998</v>
      </c>
      <c r="E29" s="18">
        <v>0</v>
      </c>
      <c r="F29" s="11">
        <f>'Drivers &amp; Assumptons'!$C$45*ABS(F28)</f>
        <v>18827.309874000006</v>
      </c>
      <c r="G29" s="11">
        <f>'Drivers &amp; Assumptons'!$C$45*ABS(G28)</f>
        <v>4829.4643779199987</v>
      </c>
      <c r="H29" s="11">
        <f>'Drivers &amp; Assumptons'!$C$45*ABS(H28)</f>
        <v>5215.8215281536095</v>
      </c>
      <c r="I29" s="11">
        <f>'Drivers &amp; Assumptons'!$C$45*ABS(I28)</f>
        <v>5633.0872504058889</v>
      </c>
      <c r="J29" s="11">
        <f>'Drivers &amp; Assumptons'!$C$45*ABS(J28)</f>
        <v>6083.7342304383674</v>
      </c>
      <c r="K29" s="11">
        <f>'Drivers &amp; Assumptons'!$C$45*ABS(K28)</f>
        <v>6570.432968873436</v>
      </c>
      <c r="L29" s="11">
        <f>'Drivers &amp; Assumptons'!$C$45*ABS(L28)</f>
        <v>7096.0676063833043</v>
      </c>
      <c r="M29" s="11">
        <f>'Drivers &amp; Assumptons'!$C$45*ABS(M28)</f>
        <v>7663.7530148939759</v>
      </c>
    </row>
    <row r="30" spans="1:13" x14ac:dyDescent="0.2">
      <c r="A30" s="2" t="s">
        <v>216</v>
      </c>
      <c r="B30" s="18">
        <v>0</v>
      </c>
      <c r="C30" s="18">
        <f>1629/1000</f>
        <v>1.629</v>
      </c>
      <c r="D30" s="18">
        <v>0</v>
      </c>
      <c r="E30" s="18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</row>
    <row r="31" spans="1:13" x14ac:dyDescent="0.2">
      <c r="A31" s="2" t="s">
        <v>217</v>
      </c>
      <c r="B31" s="18">
        <v>0</v>
      </c>
      <c r="C31" s="18">
        <f>1107/1000</f>
        <v>1.107</v>
      </c>
      <c r="D31" s="18">
        <f>739/1000</f>
        <v>0.73899999999999999</v>
      </c>
      <c r="E31" s="18">
        <f>194/1000</f>
        <v>0.19400000000000001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</row>
    <row r="32" spans="1:13" x14ac:dyDescent="0.2">
      <c r="A32" s="2" t="s">
        <v>218</v>
      </c>
      <c r="B32" s="18">
        <f>-16032/1000</f>
        <v>-16.032</v>
      </c>
      <c r="C32" s="18">
        <f>-2661/1000</f>
        <v>-2.661</v>
      </c>
      <c r="D32" s="18">
        <f>-4265/1000</f>
        <v>-4.2649999999999997</v>
      </c>
      <c r="E32" s="18">
        <f>-6370/1000</f>
        <v>-6.37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</row>
    <row r="33" spans="1:13" x14ac:dyDescent="0.2">
      <c r="A33" s="2" t="s">
        <v>219</v>
      </c>
      <c r="B33" s="18">
        <f>-43456/1000</f>
        <v>-43.456000000000003</v>
      </c>
      <c r="C33" s="18">
        <v>0</v>
      </c>
      <c r="D33" s="18">
        <v>0</v>
      </c>
      <c r="E33" s="18">
        <f>-7734/1000</f>
        <v>-7.734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</row>
    <row r="34" spans="1:13" x14ac:dyDescent="0.2">
      <c r="A34" s="2" t="s">
        <v>220</v>
      </c>
      <c r="B34" s="18">
        <v>0</v>
      </c>
      <c r="C34" s="18">
        <f>27301/1000</f>
        <v>27.300999999999998</v>
      </c>
      <c r="D34" s="18">
        <f>4805/1000</f>
        <v>4.8049999999999997</v>
      </c>
      <c r="E34" s="18">
        <f>79/1000</f>
        <v>7.9000000000000001E-2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</row>
    <row r="35" spans="1:13" x14ac:dyDescent="0.2">
      <c r="A35" s="2" t="s">
        <v>221</v>
      </c>
      <c r="B35" s="18">
        <f>-18315/1000</f>
        <v>-18.315000000000001</v>
      </c>
      <c r="C35" s="18">
        <f>-32862/1000</f>
        <v>-32.862000000000002</v>
      </c>
      <c r="D35" s="18">
        <f>-39098/1000</f>
        <v>-39.097999999999999</v>
      </c>
      <c r="E35" s="18">
        <f>-24858/1000</f>
        <v>-24.858000000000001</v>
      </c>
      <c r="F35" s="11">
        <f>E35*2</f>
        <v>-49.716000000000001</v>
      </c>
      <c r="G35" s="11">
        <f>F35</f>
        <v>-49.716000000000001</v>
      </c>
      <c r="H35" s="11">
        <f t="shared" ref="H35:M35" si="10">G35</f>
        <v>-49.716000000000001</v>
      </c>
      <c r="I35" s="11">
        <f t="shared" si="10"/>
        <v>-49.716000000000001</v>
      </c>
      <c r="J35" s="11">
        <f t="shared" si="10"/>
        <v>-49.716000000000001</v>
      </c>
      <c r="K35" s="11">
        <f t="shared" si="10"/>
        <v>-49.716000000000001</v>
      </c>
      <c r="L35" s="11">
        <f t="shared" si="10"/>
        <v>-49.716000000000001</v>
      </c>
      <c r="M35" s="11">
        <f t="shared" si="10"/>
        <v>-49.716000000000001</v>
      </c>
    </row>
    <row r="36" spans="1:13" x14ac:dyDescent="0.2">
      <c r="A36" s="2" t="s">
        <v>222</v>
      </c>
      <c r="B36" s="18">
        <f>-3050/1000</f>
        <v>-3.05</v>
      </c>
      <c r="C36" s="18">
        <f>-654/1000</f>
        <v>-0.65400000000000003</v>
      </c>
      <c r="D36" s="18">
        <f>-18128/1000</f>
        <v>-18.128</v>
      </c>
      <c r="E36" s="18">
        <f>-7419/1000</f>
        <v>-7.4189999999999996</v>
      </c>
      <c r="F36" s="11">
        <f>2*E36</f>
        <v>-14.837999999999999</v>
      </c>
      <c r="G36" s="11">
        <f>F36</f>
        <v>-14.837999999999999</v>
      </c>
      <c r="H36" s="11">
        <f t="shared" ref="H36:M36" si="11">G36</f>
        <v>-14.837999999999999</v>
      </c>
      <c r="I36" s="11">
        <f t="shared" si="11"/>
        <v>-14.837999999999999</v>
      </c>
      <c r="J36" s="11">
        <f t="shared" si="11"/>
        <v>-14.837999999999999</v>
      </c>
      <c r="K36" s="11">
        <f t="shared" si="11"/>
        <v>-14.837999999999999</v>
      </c>
      <c r="L36" s="11">
        <f t="shared" si="11"/>
        <v>-14.837999999999999</v>
      </c>
      <c r="M36" s="11">
        <f t="shared" si="11"/>
        <v>-14.837999999999999</v>
      </c>
    </row>
    <row r="37" spans="1:13" x14ac:dyDescent="0.2">
      <c r="A37" s="8" t="s">
        <v>223</v>
      </c>
      <c r="B37" s="18">
        <f>SUM(B27:B36)</f>
        <v>-8488.5899999999929</v>
      </c>
      <c r="C37" s="18">
        <f t="shared" ref="C37:E37" si="12">SUM(C27:C36)</f>
        <v>8509.7710000000006</v>
      </c>
      <c r="D37" s="18">
        <f t="shared" si="12"/>
        <v>186.30100000000004</v>
      </c>
      <c r="E37" s="18">
        <f t="shared" si="12"/>
        <v>-46.107999999999997</v>
      </c>
      <c r="F37" s="11">
        <f t="shared" ref="F37" si="13">SUM(F27:F36)</f>
        <v>-1055.4650460000009</v>
      </c>
      <c r="G37" s="11">
        <f t="shared" ref="G37" si="14">SUM(G27:G36)</f>
        <v>-318.73633568000054</v>
      </c>
      <c r="H37" s="11">
        <f t="shared" ref="H37" si="15">SUM(H27:H36)</f>
        <v>-339.07092253440072</v>
      </c>
      <c r="I37" s="11">
        <f t="shared" ref="I37" si="16">SUM(I27:I36)</f>
        <v>-361.03227633715227</v>
      </c>
      <c r="J37" s="11">
        <f t="shared" ref="J37" si="17">SUM(J27:J36)</f>
        <v>-384.75053844412463</v>
      </c>
      <c r="K37" s="11">
        <f t="shared" ref="K37" si="18">SUM(K27:K36)</f>
        <v>-410.36626151965532</v>
      </c>
      <c r="L37" s="11">
        <f t="shared" ref="L37" si="19">SUM(L27:L36)</f>
        <v>-438.03124244122677</v>
      </c>
      <c r="M37" s="11">
        <f t="shared" ref="M37" si="20">SUM(M27:M36)</f>
        <v>-467.90942183652527</v>
      </c>
    </row>
    <row r="38" spans="1:13" x14ac:dyDescent="0.2">
      <c r="B38" s="18"/>
      <c r="C38" s="18"/>
      <c r="D38" s="18"/>
      <c r="E38" s="18"/>
      <c r="F38" s="11"/>
      <c r="G38" s="11"/>
      <c r="H38" s="11"/>
      <c r="I38" s="11"/>
      <c r="J38" s="11"/>
      <c r="K38" s="11"/>
      <c r="L38" s="11"/>
      <c r="M38" s="11"/>
    </row>
    <row r="39" spans="1:13" x14ac:dyDescent="0.2">
      <c r="A39" s="9" t="s">
        <v>224</v>
      </c>
      <c r="B39" s="18"/>
      <c r="C39" s="18"/>
      <c r="D39" s="18"/>
      <c r="E39" s="18"/>
      <c r="F39" s="11"/>
      <c r="G39" s="11"/>
      <c r="H39" s="11"/>
      <c r="I39" s="11"/>
      <c r="J39" s="11"/>
      <c r="K39" s="11"/>
      <c r="L39" s="11"/>
      <c r="M39" s="11"/>
    </row>
    <row r="40" spans="1:13" x14ac:dyDescent="0.2">
      <c r="A40" s="2" t="s">
        <v>225</v>
      </c>
      <c r="B40" s="18">
        <f>2176756/1000</f>
        <v>2176.7559999999999</v>
      </c>
      <c r="C40" s="18">
        <f>-20322155/1000</f>
        <v>-20322.154999999999</v>
      </c>
      <c r="D40" s="18">
        <f>19452147/1000</f>
        <v>19452.147000000001</v>
      </c>
      <c r="E40" s="18">
        <f>17339497/1000</f>
        <v>17339.496999999999</v>
      </c>
      <c r="F40" s="11">
        <f>'Balance Sheet'!E31-'Balance Sheet'!C31</f>
        <v>19818.220920000007</v>
      </c>
      <c r="G40" s="11">
        <f>'Balance Sheet'!F31-'Balance Sheet'!E31</f>
        <v>5083.6467135999992</v>
      </c>
      <c r="H40" s="11">
        <f>'Balance Sheet'!G31-'Balance Sheet'!F31</f>
        <v>5490.3384506880102</v>
      </c>
      <c r="I40" s="11">
        <f>'Balance Sheet'!H31-'Balance Sheet'!G31</f>
        <v>5929.5655267430411</v>
      </c>
      <c r="J40" s="11">
        <f>'Balance Sheet'!I31-'Balance Sheet'!H31</f>
        <v>6403.930768882492</v>
      </c>
      <c r="K40" s="11">
        <f>'Balance Sheet'!J31-'Balance Sheet'!I31</f>
        <v>6916.2452303930913</v>
      </c>
      <c r="L40" s="11">
        <f>'Balance Sheet'!K31-'Balance Sheet'!J31</f>
        <v>7469.5448488245311</v>
      </c>
      <c r="M40" s="11">
        <f>'Balance Sheet'!L31-'Balance Sheet'!K31</f>
        <v>8067.1084367305011</v>
      </c>
    </row>
    <row r="41" spans="1:13" ht="34" x14ac:dyDescent="0.2">
      <c r="A41" s="48" t="s">
        <v>265</v>
      </c>
      <c r="B41" s="18">
        <v>0</v>
      </c>
      <c r="C41" s="18">
        <v>0</v>
      </c>
      <c r="D41" s="18">
        <v>0</v>
      </c>
      <c r="E41" s="18">
        <f>572558/1000</f>
        <v>572.55799999999999</v>
      </c>
      <c r="F41" s="11">
        <f>E41</f>
        <v>572.55799999999999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</row>
    <row r="42" spans="1:13" ht="17" x14ac:dyDescent="0.2">
      <c r="A42" s="48" t="s">
        <v>266</v>
      </c>
      <c r="B42" s="18">
        <v>0</v>
      </c>
      <c r="C42" s="18">
        <v>0</v>
      </c>
      <c r="D42" s="18">
        <v>0</v>
      </c>
      <c r="E42" s="18">
        <f>-121794/1000</f>
        <v>-121.794</v>
      </c>
      <c r="F42" s="11">
        <f>E42*2</f>
        <v>-243.58799999999999</v>
      </c>
      <c r="G42" s="11">
        <f>(F42/F17)*G17</f>
        <v>-34.42229162673361</v>
      </c>
      <c r="H42" s="11">
        <f t="shared" ref="H42:M42" si="21">(G42/G17)*H17</f>
        <v>-33.415804370761535</v>
      </c>
      <c r="I42" s="11">
        <f t="shared" si="21"/>
        <v>-33.792216253594695</v>
      </c>
      <c r="J42" s="11">
        <f t="shared" si="21"/>
        <v>-34.017110729070907</v>
      </c>
      <c r="K42" s="11">
        <f t="shared" si="21"/>
        <v>-36.119693801527376</v>
      </c>
      <c r="L42" s="11">
        <f t="shared" si="21"/>
        <v>-39.083654601150009</v>
      </c>
      <c r="M42" s="11">
        <f t="shared" si="21"/>
        <v>-43.892095925534861</v>
      </c>
    </row>
    <row r="43" spans="1:13" x14ac:dyDescent="0.2">
      <c r="A43" s="2" t="s">
        <v>226</v>
      </c>
      <c r="B43" s="18">
        <v>0</v>
      </c>
      <c r="C43" s="18">
        <f>-8745/1000</f>
        <v>-8.7449999999999992</v>
      </c>
      <c r="D43" s="18">
        <v>0</v>
      </c>
      <c r="E43" s="18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</row>
    <row r="44" spans="1:13" x14ac:dyDescent="0.2">
      <c r="A44" s="2" t="s">
        <v>227</v>
      </c>
      <c r="B44" s="18">
        <f>400999/1000</f>
        <v>400.99900000000002</v>
      </c>
      <c r="C44" s="18">
        <v>0</v>
      </c>
      <c r="D44" s="18">
        <v>0</v>
      </c>
      <c r="E44" s="18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</row>
    <row r="45" spans="1:13" x14ac:dyDescent="0.2">
      <c r="A45" s="2" t="s">
        <v>228</v>
      </c>
      <c r="B45" s="18">
        <v>0</v>
      </c>
      <c r="C45" s="18">
        <v>0</v>
      </c>
      <c r="D45" s="18">
        <f>-3870/1000</f>
        <v>-3.87</v>
      </c>
      <c r="E45" s="18">
        <v>0</v>
      </c>
      <c r="F45" s="11">
        <f>-(F41*'Drivers &amp; Assumptons'!$C$46)</f>
        <v>-33.780921999999997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</row>
    <row r="46" spans="1:13" x14ac:dyDescent="0.2">
      <c r="A46" s="2" t="s">
        <v>229</v>
      </c>
      <c r="B46" s="18">
        <f>486/1000</f>
        <v>0.48599999999999999</v>
      </c>
      <c r="C46" s="18">
        <f>1037/1000</f>
        <v>1.0369999999999999</v>
      </c>
      <c r="D46" s="18">
        <f>1614/1000</f>
        <v>1.6140000000000001</v>
      </c>
      <c r="E46" s="18">
        <f>6800/1000</f>
        <v>6.8</v>
      </c>
      <c r="F46" s="11">
        <f>E46*2</f>
        <v>13.6</v>
      </c>
      <c r="G46" s="11">
        <f>F46</f>
        <v>13.6</v>
      </c>
      <c r="H46" s="11">
        <f t="shared" ref="H46:M46" si="22">G46</f>
        <v>13.6</v>
      </c>
      <c r="I46" s="11">
        <f t="shared" si="22"/>
        <v>13.6</v>
      </c>
      <c r="J46" s="11">
        <f t="shared" si="22"/>
        <v>13.6</v>
      </c>
      <c r="K46" s="11">
        <f t="shared" si="22"/>
        <v>13.6</v>
      </c>
      <c r="L46" s="11">
        <f t="shared" si="22"/>
        <v>13.6</v>
      </c>
      <c r="M46" s="11">
        <f t="shared" si="22"/>
        <v>13.6</v>
      </c>
    </row>
    <row r="47" spans="1:13" x14ac:dyDescent="0.2">
      <c r="A47" s="8" t="s">
        <v>230</v>
      </c>
      <c r="B47" s="18">
        <f>SUM(B40:B46)</f>
        <v>2578.241</v>
      </c>
      <c r="C47" s="18">
        <f t="shared" ref="C47:E47" si="23">SUM(C40:C46)</f>
        <v>-20329.862999999998</v>
      </c>
      <c r="D47" s="18">
        <f t="shared" si="23"/>
        <v>19449.891000000003</v>
      </c>
      <c r="E47" s="18">
        <f t="shared" si="23"/>
        <v>17797.060999999998</v>
      </c>
      <c r="F47" s="11">
        <f t="shared" ref="F47" si="24">SUM(F40:F46)</f>
        <v>20127.009998000005</v>
      </c>
      <c r="G47" s="11">
        <f t="shared" ref="G47" si="25">SUM(G40:G46)</f>
        <v>5062.824421973266</v>
      </c>
      <c r="H47" s="11">
        <f t="shared" ref="H47" si="26">SUM(H40:H46)</f>
        <v>5470.5226463172494</v>
      </c>
      <c r="I47" s="11">
        <f t="shared" ref="I47" si="27">SUM(I40:I46)</f>
        <v>5909.3733104894463</v>
      </c>
      <c r="J47" s="11">
        <f t="shared" ref="J47" si="28">SUM(J40:J46)</f>
        <v>6383.5136581534216</v>
      </c>
      <c r="K47" s="11">
        <f t="shared" ref="K47" si="29">SUM(K40:K46)</f>
        <v>6893.7255365915644</v>
      </c>
      <c r="L47" s="11">
        <f t="shared" ref="L47" si="30">SUM(L40:L46)</f>
        <v>7444.0611942233818</v>
      </c>
      <c r="M47" s="11">
        <f t="shared" ref="M47" si="31">SUM(M40:M46)</f>
        <v>8036.8163408049668</v>
      </c>
    </row>
    <row r="48" spans="1:13" x14ac:dyDescent="0.2">
      <c r="B48" s="18"/>
      <c r="C48" s="18"/>
      <c r="D48" s="18"/>
      <c r="E48" s="18"/>
      <c r="F48" s="11"/>
      <c r="G48" s="11"/>
      <c r="H48" s="11"/>
      <c r="I48" s="11"/>
      <c r="J48" s="11"/>
      <c r="K48" s="11"/>
      <c r="L48" s="11"/>
      <c r="M48" s="11"/>
    </row>
    <row r="49" spans="1:19" x14ac:dyDescent="0.2">
      <c r="A49" s="7" t="s">
        <v>231</v>
      </c>
      <c r="B49" s="18">
        <f>3620/1000</f>
        <v>3.62</v>
      </c>
      <c r="C49" s="18">
        <f>1097/1000</f>
        <v>1.097</v>
      </c>
      <c r="D49" s="18">
        <f>-7099/1000</f>
        <v>-7.0990000000000002</v>
      </c>
      <c r="E49" s="18">
        <f>53247/1000</f>
        <v>53.247</v>
      </c>
      <c r="F49" s="11">
        <f>E49</f>
        <v>53.247</v>
      </c>
      <c r="G49" s="11">
        <f>0</f>
        <v>0</v>
      </c>
      <c r="H49" s="11">
        <f>0</f>
        <v>0</v>
      </c>
      <c r="I49" s="11">
        <f>0</f>
        <v>0</v>
      </c>
      <c r="J49" s="11">
        <f>0</f>
        <v>0</v>
      </c>
      <c r="K49" s="11">
        <f>0</f>
        <v>0</v>
      </c>
      <c r="L49" s="11">
        <f>0</f>
        <v>0</v>
      </c>
      <c r="M49" s="11">
        <f>0</f>
        <v>0</v>
      </c>
    </row>
    <row r="50" spans="1:19" x14ac:dyDescent="0.2">
      <c r="A50" t="s">
        <v>232</v>
      </c>
      <c r="B50" s="18">
        <f>136/1000</f>
        <v>0.13600000000000001</v>
      </c>
      <c r="C50" s="18">
        <f>-254/1000</f>
        <v>-0.254</v>
      </c>
      <c r="D50" s="18">
        <f>-224/1000</f>
        <v>-0.224</v>
      </c>
      <c r="E50" s="18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</row>
    <row r="51" spans="1:19" x14ac:dyDescent="0.2">
      <c r="A51" t="s">
        <v>233</v>
      </c>
      <c r="B51" s="18">
        <f>B24+B37+B47+SUM(B49:B50)</f>
        <v>-5979.2859999999919</v>
      </c>
      <c r="C51" s="18">
        <f t="shared" ref="C51:E51" si="32">C24+C37+C47+SUM(C49:C50)</f>
        <v>-11679.680999999997</v>
      </c>
      <c r="D51" s="18">
        <f t="shared" si="32"/>
        <v>19973.050000000003</v>
      </c>
      <c r="E51" s="18">
        <f t="shared" si="32"/>
        <v>18107.915999999997</v>
      </c>
      <c r="F51" s="11">
        <f t="shared" ref="F51" si="33">F24+F37+F47+SUM(F49:F50)</f>
        <v>20197.235094918207</v>
      </c>
      <c r="G51" s="11">
        <f t="shared" ref="G51" si="34">G24+G37+G47+SUM(G49:G50)</f>
        <v>5176.9487582114771</v>
      </c>
      <c r="H51" s="11">
        <f t="shared" ref="H51" si="35">H24+H37+H47+SUM(H49:H50)</f>
        <v>5531.2726667257375</v>
      </c>
      <c r="I51" s="11">
        <f t="shared" ref="I51" si="36">I24+I37+I47+SUM(I49:I50)</f>
        <v>5944.0817336209075</v>
      </c>
      <c r="J51" s="11">
        <f t="shared" ref="J51" si="37">J24+J37+J47+SUM(J49:J50)</f>
        <v>6398.9327089658409</v>
      </c>
      <c r="K51" s="11">
        <f t="shared" ref="K51" si="38">K24+K37+K47+SUM(K49:K50)</f>
        <v>6901.800143314792</v>
      </c>
      <c r="L51" s="11">
        <f t="shared" ref="L51" si="39">L24+L37+L47+SUM(L49:L50)</f>
        <v>7462.7672116984031</v>
      </c>
      <c r="M51" s="11">
        <f t="shared" ref="M51" si="40">M24+M37+M47+SUM(M49:M50)</f>
        <v>8084.6328114991848</v>
      </c>
    </row>
    <row r="52" spans="1:19" x14ac:dyDescent="0.2">
      <c r="A52" s="8" t="s">
        <v>234</v>
      </c>
      <c r="B52" s="18">
        <f>42653126/1000</f>
        <v>42653.125999999997</v>
      </c>
      <c r="C52" s="18">
        <f>B53</f>
        <v>36673.840000000004</v>
      </c>
      <c r="D52" s="18">
        <f>C53</f>
        <v>24994.159000000007</v>
      </c>
      <c r="E52" s="18">
        <f>D53</f>
        <v>44967.20900000001</v>
      </c>
      <c r="F52" s="11">
        <f t="shared" ref="F52:M52" si="41">E53</f>
        <v>63075.125000000007</v>
      </c>
      <c r="G52" s="11">
        <f t="shared" si="41"/>
        <v>83272.360094918215</v>
      </c>
      <c r="H52" s="11">
        <f t="shared" si="41"/>
        <v>88449.308853129696</v>
      </c>
      <c r="I52" s="11">
        <f t="shared" si="41"/>
        <v>93980.581519855434</v>
      </c>
      <c r="J52" s="11">
        <f t="shared" si="41"/>
        <v>99924.663253476348</v>
      </c>
      <c r="K52" s="11">
        <f t="shared" si="41"/>
        <v>106323.5959624422</v>
      </c>
      <c r="L52" s="11">
        <f t="shared" si="41"/>
        <v>113225.39610575698</v>
      </c>
      <c r="M52" s="11">
        <f t="shared" si="41"/>
        <v>120688.16331745539</v>
      </c>
    </row>
    <row r="53" spans="1:19" x14ac:dyDescent="0.2">
      <c r="A53" s="8" t="s">
        <v>235</v>
      </c>
      <c r="B53" s="18">
        <f>B52+B51</f>
        <v>36673.840000000004</v>
      </c>
      <c r="C53" s="18">
        <f t="shared" ref="C53:E53" si="42">C52+C51</f>
        <v>24994.159000000007</v>
      </c>
      <c r="D53" s="18">
        <f t="shared" si="42"/>
        <v>44967.20900000001</v>
      </c>
      <c r="E53" s="18">
        <f t="shared" si="42"/>
        <v>63075.125000000007</v>
      </c>
      <c r="F53" s="11">
        <f t="shared" ref="F53" si="43">F52+F51</f>
        <v>83272.360094918215</v>
      </c>
      <c r="G53" s="11">
        <f t="shared" ref="G53" si="44">G52+G51</f>
        <v>88449.308853129696</v>
      </c>
      <c r="H53" s="11">
        <f t="shared" ref="H53" si="45">H52+H51</f>
        <v>93980.581519855434</v>
      </c>
      <c r="I53" s="11">
        <f t="shared" ref="I53" si="46">I52+I51</f>
        <v>99924.663253476348</v>
      </c>
      <c r="J53" s="11">
        <f t="shared" ref="J53" si="47">J52+J51</f>
        <v>106323.5959624422</v>
      </c>
      <c r="K53" s="11">
        <f t="shared" ref="K53" si="48">K52+K51</f>
        <v>113225.39610575698</v>
      </c>
      <c r="L53" s="11">
        <f t="shared" ref="L53" si="49">L52+L51</f>
        <v>120688.16331745539</v>
      </c>
      <c r="M53" s="11">
        <f t="shared" ref="M53" si="50">M52+M51</f>
        <v>128772.79612895456</v>
      </c>
    </row>
    <row r="54" spans="1:19" x14ac:dyDescent="0.2">
      <c r="B54" s="18"/>
      <c r="C54" s="18"/>
      <c r="D54" s="18"/>
      <c r="E54" s="18"/>
      <c r="F54" s="11"/>
      <c r="J54" s="11"/>
      <c r="K54" s="11"/>
      <c r="L54" s="11"/>
      <c r="M54" s="11"/>
      <c r="Q54" s="11">
        <f>SUM(E24,E37,E47)</f>
        <v>18054.668999999998</v>
      </c>
      <c r="R54" s="11">
        <f>Q54+E49</f>
        <v>18107.915999999997</v>
      </c>
      <c r="S54" s="11">
        <f>R54+E52</f>
        <v>63075.125000000007</v>
      </c>
    </row>
    <row r="55" spans="1:19" x14ac:dyDescent="0.2">
      <c r="A55" s="8" t="s">
        <v>236</v>
      </c>
      <c r="B55" s="18"/>
      <c r="C55" s="18"/>
      <c r="D55" s="18"/>
      <c r="E55" s="18"/>
      <c r="F55" s="11"/>
      <c r="J55" s="11"/>
      <c r="K55" s="11"/>
      <c r="L55" s="11"/>
      <c r="M55" s="11"/>
      <c r="Q55" s="11">
        <f>D47+D37+D24</f>
        <v>19980.373000000003</v>
      </c>
      <c r="R55" s="11">
        <f>Q55+D49</f>
        <v>19973.274000000005</v>
      </c>
      <c r="S55" s="11">
        <f>R55+D52</f>
        <v>44967.433000000012</v>
      </c>
    </row>
    <row r="56" spans="1:19" x14ac:dyDescent="0.2">
      <c r="A56" s="33" t="s">
        <v>237</v>
      </c>
      <c r="B56" s="18">
        <f>664650/1000</f>
        <v>664.65</v>
      </c>
      <c r="C56" s="18">
        <f>368623/1000</f>
        <v>368.62299999999999</v>
      </c>
      <c r="D56" s="18">
        <f>750981/1000</f>
        <v>750.98099999999999</v>
      </c>
      <c r="E56" s="18">
        <f>1118119/1000</f>
        <v>1118.1189999999999</v>
      </c>
      <c r="F56" s="11">
        <f>AVERAGE(($B$56/$B$62),($C$56/$C$62),($D$56/$D$62))*F62</f>
        <v>1375.9960298716969</v>
      </c>
      <c r="G56" s="11">
        <f t="shared" ref="G56:M56" si="51">AVERAGE(($B$56/$B$62),($C$56/$C$62),($D$56/$D$62))*G62</f>
        <v>1461.5401519552852</v>
      </c>
      <c r="H56" s="11">
        <f t="shared" si="51"/>
        <v>1552.9391374154909</v>
      </c>
      <c r="I56" s="11">
        <f t="shared" si="51"/>
        <v>1651.1593975038606</v>
      </c>
      <c r="J56" s="11">
        <f t="shared" si="51"/>
        <v>1756.8956345087547</v>
      </c>
      <c r="K56" s="11">
        <f t="shared" si="51"/>
        <v>1870.9412744467131</v>
      </c>
      <c r="L56" s="11">
        <f t="shared" si="51"/>
        <v>1994.2563581485419</v>
      </c>
      <c r="M56" s="11">
        <f t="shared" si="51"/>
        <v>2127.8471755447717</v>
      </c>
    </row>
    <row r="57" spans="1:19" x14ac:dyDescent="0.2">
      <c r="A57" s="33" t="s">
        <v>238</v>
      </c>
      <c r="B57" s="18">
        <f>15914/1000</f>
        <v>15.914</v>
      </c>
      <c r="C57" s="18">
        <f>3575/1000</f>
        <v>3.5750000000000002</v>
      </c>
      <c r="D57" s="18">
        <f>3558/1000</f>
        <v>3.5579999999999998</v>
      </c>
      <c r="E57" s="18">
        <f>3210/1000</f>
        <v>3.21</v>
      </c>
      <c r="F57" s="11">
        <f>AVERAGE(($B$57/$B$62),($C$57/$C$62),($D$57/$D$62))*F62</f>
        <v>18.21139689533231</v>
      </c>
      <c r="G57" s="11">
        <f t="shared" ref="G57:M57" si="52">AVERAGE(($B$57/$B$62),($C$57/$C$62),($D$57/$D$62))*G62</f>
        <v>19.34357891149136</v>
      </c>
      <c r="H57" s="11">
        <f t="shared" si="52"/>
        <v>20.553250425007079</v>
      </c>
      <c r="I57" s="11">
        <f t="shared" si="52"/>
        <v>21.853201951610579</v>
      </c>
      <c r="J57" s="11">
        <f t="shared" si="52"/>
        <v>23.252627921244081</v>
      </c>
      <c r="K57" s="11">
        <f t="shared" si="52"/>
        <v>24.76202937880932</v>
      </c>
      <c r="L57" s="11">
        <f t="shared" si="52"/>
        <v>26.394112527104838</v>
      </c>
      <c r="M57" s="11">
        <f t="shared" si="52"/>
        <v>28.162195678770221</v>
      </c>
    </row>
    <row r="58" spans="1:19" x14ac:dyDescent="0.2">
      <c r="A58" s="33" t="s">
        <v>239</v>
      </c>
      <c r="B58" s="18">
        <f>5311/1000</f>
        <v>5.3109999999999999</v>
      </c>
      <c r="C58" s="18">
        <f>275809/1000</f>
        <v>275.80900000000003</v>
      </c>
      <c r="D58" s="18">
        <f>294493/1000</f>
        <v>294.49299999999999</v>
      </c>
      <c r="E58" s="18">
        <f>588271/1000</f>
        <v>588.27099999999996</v>
      </c>
      <c r="F58" s="11">
        <f>AVERAGE(($B$58/$B$62),($C$58/$C$62),($D$58/$D$62))*F62</f>
        <v>492.10519881171143</v>
      </c>
      <c r="G58" s="11">
        <f t="shared" ref="G58:M58" si="53">AVERAGE(($B$58/$B$62),($C$58/$C$62),($D$58/$D$62))*G62</f>
        <v>522.69882429553115</v>
      </c>
      <c r="H58" s="11">
        <f t="shared" si="53"/>
        <v>555.38635749668231</v>
      </c>
      <c r="I58" s="11">
        <f t="shared" si="53"/>
        <v>590.51342150618541</v>
      </c>
      <c r="J58" s="11">
        <f t="shared" si="53"/>
        <v>628.32846661045608</v>
      </c>
      <c r="K58" s="11">
        <f t="shared" si="53"/>
        <v>669.11525021804471</v>
      </c>
      <c r="L58" s="11">
        <f t="shared" si="53"/>
        <v>713.21711713057471</v>
      </c>
      <c r="M58" s="11">
        <f t="shared" si="53"/>
        <v>760.99395247531095</v>
      </c>
    </row>
    <row r="59" spans="1:19" x14ac:dyDescent="0.2">
      <c r="A59" s="33" t="s">
        <v>240</v>
      </c>
      <c r="B59" s="18">
        <f>35987965/1000</f>
        <v>35987.964999999997</v>
      </c>
      <c r="C59" s="18">
        <f>24346152/1000</f>
        <v>24346.151999999998</v>
      </c>
      <c r="D59" s="18">
        <f>43918572/1000</f>
        <v>43918.572</v>
      </c>
      <c r="E59" s="18">
        <f>61365920/1000</f>
        <v>61365.919999999998</v>
      </c>
      <c r="F59" s="11">
        <f>'Balance Sheet'!E5</f>
        <v>63820.556799999998</v>
      </c>
      <c r="G59" s="11">
        <f>'Balance Sheet'!F5</f>
        <v>68926.201344000001</v>
      </c>
      <c r="H59" s="11">
        <f>'Balance Sheet'!G5</f>
        <v>74440.297451520004</v>
      </c>
      <c r="I59" s="11">
        <f>'Balance Sheet'!H5</f>
        <v>80395.521247641605</v>
      </c>
      <c r="J59" s="11">
        <f>'Balance Sheet'!I5</f>
        <v>86827.162947452933</v>
      </c>
      <c r="K59" s="11">
        <f>'Balance Sheet'!J5</f>
        <v>93773.33598324917</v>
      </c>
      <c r="L59" s="11">
        <f>'Balance Sheet'!K5</f>
        <v>101275.20286190911</v>
      </c>
      <c r="M59" s="11">
        <f>'Balance Sheet'!L5</f>
        <v>109377.21909086185</v>
      </c>
    </row>
    <row r="60" spans="1:19" x14ac:dyDescent="0.2">
      <c r="A60" s="33" t="s">
        <v>280</v>
      </c>
      <c r="B60" s="51">
        <v>0</v>
      </c>
      <c r="C60" s="51">
        <v>0</v>
      </c>
      <c r="D60" s="51">
        <v>0</v>
      </c>
      <c r="E60" s="51">
        <v>0</v>
      </c>
      <c r="F60" s="15">
        <f>F62-SUM(F56:F59)</f>
        <v>17565.490669339473</v>
      </c>
      <c r="G60" s="15">
        <f t="shared" ref="G60:M60" si="54">G62-SUM(G56:G59)</f>
        <v>17519.524953967382</v>
      </c>
      <c r="H60" s="15">
        <f t="shared" si="54"/>
        <v>17411.405322998253</v>
      </c>
      <c r="I60" s="15">
        <f t="shared" si="54"/>
        <v>17265.615984873089</v>
      </c>
      <c r="J60" s="15">
        <f t="shared" si="54"/>
        <v>17087.956285948807</v>
      </c>
      <c r="K60" s="15">
        <f t="shared" si="54"/>
        <v>16887.241568464247</v>
      </c>
      <c r="L60" s="15">
        <f t="shared" si="54"/>
        <v>16679.092867740052</v>
      </c>
      <c r="M60" s="15">
        <f t="shared" si="54"/>
        <v>16478.57371439386</v>
      </c>
    </row>
    <row r="61" spans="1:19" x14ac:dyDescent="0.2">
      <c r="A61" s="42" t="s">
        <v>279</v>
      </c>
      <c r="B61" s="16">
        <f>SUM(B56:B59)</f>
        <v>36673.839999999997</v>
      </c>
      <c r="C61" s="16">
        <f t="shared" ref="C61:E61" si="55">SUM(C56:C59)</f>
        <v>24994.159</v>
      </c>
      <c r="D61" s="16">
        <f t="shared" si="55"/>
        <v>44967.603999999999</v>
      </c>
      <c r="E61" s="16">
        <f t="shared" si="55"/>
        <v>63075.519999999997</v>
      </c>
      <c r="F61" s="16">
        <f>SUM(F56:F60)</f>
        <v>83272.360094918215</v>
      </c>
      <c r="G61" s="16">
        <f t="shared" ref="G61:M61" si="56">SUM(G56:G60)</f>
        <v>88449.308853129696</v>
      </c>
      <c r="H61" s="16">
        <f t="shared" si="56"/>
        <v>93980.581519855434</v>
      </c>
      <c r="I61" s="16">
        <f t="shared" si="56"/>
        <v>99924.663253476348</v>
      </c>
      <c r="J61" s="16">
        <f t="shared" si="56"/>
        <v>106323.5959624422</v>
      </c>
      <c r="K61" s="16">
        <f t="shared" si="56"/>
        <v>113225.39610575698</v>
      </c>
      <c r="L61" s="16">
        <f t="shared" si="56"/>
        <v>120688.16331745539</v>
      </c>
      <c r="M61" s="16">
        <f t="shared" si="56"/>
        <v>128772.79612895456</v>
      </c>
    </row>
    <row r="62" spans="1:19" x14ac:dyDescent="0.2">
      <c r="A62" s="8" t="s">
        <v>241</v>
      </c>
      <c r="B62" s="18">
        <f>SUM(B56:B59)</f>
        <v>36673.839999999997</v>
      </c>
      <c r="C62" s="18">
        <f>SUM(C56:C59)</f>
        <v>24994.159</v>
      </c>
      <c r="D62" s="18">
        <f>SUM(D56:D59)</f>
        <v>44967.603999999999</v>
      </c>
      <c r="E62" s="18">
        <f>SUM(E56:E59)</f>
        <v>63075.519999999997</v>
      </c>
      <c r="F62" s="11">
        <f>F53</f>
        <v>83272.360094918215</v>
      </c>
      <c r="G62" s="11">
        <f t="shared" ref="G62:M62" si="57">G53</f>
        <v>88449.308853129696</v>
      </c>
      <c r="H62" s="11">
        <f t="shared" si="57"/>
        <v>93980.581519855434</v>
      </c>
      <c r="I62" s="11">
        <f t="shared" si="57"/>
        <v>99924.663253476348</v>
      </c>
      <c r="J62" s="11">
        <f t="shared" si="57"/>
        <v>106323.5959624422</v>
      </c>
      <c r="K62" s="11">
        <f t="shared" si="57"/>
        <v>113225.39610575698</v>
      </c>
      <c r="L62" s="11">
        <f t="shared" si="57"/>
        <v>120688.16331745539</v>
      </c>
      <c r="M62" s="11">
        <f t="shared" si="57"/>
        <v>128772.79612895456</v>
      </c>
    </row>
    <row r="63" spans="1:19" x14ac:dyDescent="0.2">
      <c r="B63" s="18"/>
      <c r="C63" s="18"/>
      <c r="D63" s="18"/>
      <c r="E63" s="18"/>
      <c r="F63" s="11"/>
      <c r="G63" s="11"/>
      <c r="H63" s="11"/>
      <c r="I63" s="11"/>
      <c r="J63" s="11"/>
      <c r="K63" s="11"/>
      <c r="L63" s="11"/>
      <c r="M63" s="11"/>
    </row>
    <row r="64" spans="1:19" x14ac:dyDescent="0.2">
      <c r="A64" s="8" t="s">
        <v>242</v>
      </c>
      <c r="B64" s="18"/>
      <c r="C64" s="18"/>
      <c r="D64" s="18"/>
      <c r="E64" s="18"/>
      <c r="F64" s="11"/>
      <c r="G64" s="11"/>
      <c r="H64" s="11"/>
      <c r="I64" s="11"/>
      <c r="J64" s="11"/>
      <c r="K64" s="11"/>
      <c r="L64" s="11"/>
      <c r="M64" s="11"/>
    </row>
    <row r="65" spans="1:13" x14ac:dyDescent="0.2">
      <c r="A65" t="s">
        <v>243</v>
      </c>
      <c r="B65" s="18">
        <f>7424/1000</f>
        <v>7.4240000000000004</v>
      </c>
      <c r="C65" s="18">
        <f>81037/1000</f>
        <v>81.037000000000006</v>
      </c>
      <c r="D65" s="18">
        <f>75579/1000</f>
        <v>75.578999999999994</v>
      </c>
      <c r="E65" s="18">
        <f>13525/1000</f>
        <v>13.525</v>
      </c>
      <c r="F65" s="11"/>
      <c r="G65" s="11"/>
      <c r="H65" s="11"/>
      <c r="I65" s="11"/>
      <c r="J65" s="11"/>
      <c r="K65" s="11"/>
      <c r="L65" s="11"/>
      <c r="M65" s="11"/>
    </row>
    <row r="66" spans="1:13" x14ac:dyDescent="0.2">
      <c r="A66" t="s">
        <v>244</v>
      </c>
      <c r="B66" s="18">
        <f>350/1000</f>
        <v>0.35</v>
      </c>
      <c r="C66" s="18">
        <f>253/1000</f>
        <v>0.253</v>
      </c>
      <c r="D66" s="18">
        <f>258/1000</f>
        <v>0.25800000000000001</v>
      </c>
      <c r="E66" s="18">
        <f>180/1000</f>
        <v>0.18</v>
      </c>
    </row>
    <row r="67" spans="1:13" x14ac:dyDescent="0.2">
      <c r="B67" s="18"/>
      <c r="C67" s="18"/>
      <c r="D67" s="18"/>
      <c r="E67" s="18"/>
    </row>
    <row r="68" spans="1:13" x14ac:dyDescent="0.2">
      <c r="A68" s="8" t="s">
        <v>245</v>
      </c>
      <c r="B68" s="18"/>
      <c r="C68" s="18"/>
      <c r="D68" s="18"/>
      <c r="E68" s="18"/>
    </row>
    <row r="69" spans="1:13" x14ac:dyDescent="0.2">
      <c r="A69" t="s">
        <v>246</v>
      </c>
      <c r="B69" s="18">
        <f>-211594/1000</f>
        <v>-211.59399999999999</v>
      </c>
      <c r="C69" s="18">
        <f>-7053/1000</f>
        <v>-7.0529999999999999</v>
      </c>
      <c r="D69" s="18">
        <f>-2700/1000</f>
        <v>-2.7</v>
      </c>
      <c r="E69" s="18">
        <v>0</v>
      </c>
    </row>
    <row r="70" spans="1:13" x14ac:dyDescent="0.2">
      <c r="A70" t="s">
        <v>247</v>
      </c>
      <c r="B70" s="18">
        <f>-185830/1000</f>
        <v>-185.83</v>
      </c>
      <c r="C70" s="18">
        <f>7053/1000</f>
        <v>7.0529999999999999</v>
      </c>
      <c r="D70" s="18">
        <f>1905/1000</f>
        <v>1.905</v>
      </c>
      <c r="E70" s="18">
        <v>0</v>
      </c>
    </row>
    <row r="71" spans="1:13" x14ac:dyDescent="0.2">
      <c r="A71" t="s">
        <v>248</v>
      </c>
      <c r="B71" s="18">
        <v>0</v>
      </c>
      <c r="C71" s="18">
        <v>0</v>
      </c>
      <c r="D71" s="18">
        <f>14328/1000</f>
        <v>14.327999999999999</v>
      </c>
      <c r="E71" s="18">
        <f>-13820/1000</f>
        <v>-13.82</v>
      </c>
    </row>
    <row r="72" spans="1:13" x14ac:dyDescent="0.2">
      <c r="A72" t="s">
        <v>249</v>
      </c>
      <c r="B72" s="18">
        <v>0</v>
      </c>
      <c r="C72" s="18">
        <f>21634/1000</f>
        <v>21.634</v>
      </c>
      <c r="D72" s="18">
        <v>0</v>
      </c>
      <c r="E72" s="18">
        <v>0</v>
      </c>
    </row>
    <row r="73" spans="1:13" x14ac:dyDescent="0.2">
      <c r="A73" t="s">
        <v>250</v>
      </c>
      <c r="B73" s="18">
        <f>-154837/1000</f>
        <v>-154.83699999999999</v>
      </c>
      <c r="C73" s="18">
        <f>16459/1000</f>
        <v>16.459</v>
      </c>
      <c r="D73" s="18">
        <f>16513/1000</f>
        <v>16.513000000000002</v>
      </c>
      <c r="E73" s="18">
        <v>0</v>
      </c>
    </row>
    <row r="74" spans="1:13" x14ac:dyDescent="0.2">
      <c r="A74" t="s">
        <v>251</v>
      </c>
      <c r="B74" s="18">
        <f>138821/1000</f>
        <v>138.821</v>
      </c>
      <c r="C74" s="18">
        <f>-23397/1000</f>
        <v>-23.396999999999998</v>
      </c>
      <c r="D74" s="18">
        <v>0</v>
      </c>
      <c r="E74" s="18">
        <f>7000/1000</f>
        <v>7</v>
      </c>
    </row>
    <row r="75" spans="1:13" x14ac:dyDescent="0.2">
      <c r="A75" t="s">
        <v>252</v>
      </c>
      <c r="B75" s="18">
        <v>0</v>
      </c>
      <c r="C75" s="18">
        <f>-209938/1000</f>
        <v>-209.93799999999999</v>
      </c>
      <c r="D75" s="18">
        <v>0</v>
      </c>
      <c r="E75" s="18">
        <v>0</v>
      </c>
    </row>
    <row r="76" spans="1:13" x14ac:dyDescent="0.2">
      <c r="A76" t="s">
        <v>253</v>
      </c>
      <c r="B76" s="18">
        <f>-20497/1000</f>
        <v>-20.497</v>
      </c>
      <c r="C76" s="18">
        <f>-8937/1000</f>
        <v>-8.9369999999999994</v>
      </c>
      <c r="D76" s="18">
        <f>-6570/1000</f>
        <v>-6.57</v>
      </c>
      <c r="E76" s="18">
        <f>-379/1000</f>
        <v>-0.379</v>
      </c>
    </row>
    <row r="77" spans="1:13" x14ac:dyDescent="0.2">
      <c r="A77" t="s">
        <v>254</v>
      </c>
      <c r="B77" s="18">
        <f>6262/1000</f>
        <v>6.2619999999999996</v>
      </c>
      <c r="C77" s="18">
        <f>13118/1000</f>
        <v>13.118</v>
      </c>
      <c r="D77" s="18">
        <f>13646/1000</f>
        <v>13.646000000000001</v>
      </c>
      <c r="E77" s="18">
        <f>68348/1000</f>
        <v>68.347999999999999</v>
      </c>
    </row>
    <row r="78" spans="1:13" x14ac:dyDescent="0.2">
      <c r="A78" t="s">
        <v>255</v>
      </c>
      <c r="B78" s="18">
        <v>0</v>
      </c>
      <c r="C78" s="18">
        <v>0</v>
      </c>
      <c r="D78" s="18">
        <f>2874/1000</f>
        <v>2.8740000000000001</v>
      </c>
      <c r="E78" s="18">
        <f>-1270/1000</f>
        <v>-1.27</v>
      </c>
    </row>
    <row r="79" spans="1:13" x14ac:dyDescent="0.2">
      <c r="A79" t="s">
        <v>256</v>
      </c>
      <c r="B79" s="18">
        <f>1039/1000</f>
        <v>1.0389999999999999</v>
      </c>
      <c r="C79" s="18">
        <f>-815/1000</f>
        <v>-0.81499999999999995</v>
      </c>
      <c r="D79" s="18">
        <f>-224/1000</f>
        <v>-0.224</v>
      </c>
      <c r="E79" s="18">
        <v>0</v>
      </c>
    </row>
    <row r="80" spans="1:13" x14ac:dyDescent="0.2">
      <c r="A80" t="s">
        <v>257</v>
      </c>
      <c r="B80" s="18">
        <f>-3155/1000</f>
        <v>-3.1549999999999998</v>
      </c>
      <c r="C80" s="18">
        <f>1182/1000</f>
        <v>1.1819999999999999</v>
      </c>
      <c r="D80" s="18">
        <f>840/1000</f>
        <v>0.84</v>
      </c>
      <c r="E80" s="18">
        <f>-71/1000</f>
        <v>-7.0999999999999994E-2</v>
      </c>
    </row>
    <row r="81" spans="1:5" x14ac:dyDescent="0.2">
      <c r="A81" t="s">
        <v>258</v>
      </c>
      <c r="B81" s="18">
        <f>-141618/1000</f>
        <v>-141.61799999999999</v>
      </c>
      <c r="C81" s="18">
        <v>0</v>
      </c>
      <c r="D81" s="18">
        <v>0</v>
      </c>
      <c r="E81" s="18">
        <f>89919/1000</f>
        <v>89.918999999999997</v>
      </c>
    </row>
    <row r="82" spans="1:5" x14ac:dyDescent="0.2">
      <c r="A82" t="s">
        <v>259</v>
      </c>
      <c r="B82" s="18">
        <f>3273/1000</f>
        <v>3.2730000000000001</v>
      </c>
      <c r="C82" s="18">
        <v>0</v>
      </c>
      <c r="D82" s="18">
        <v>0</v>
      </c>
      <c r="E82" s="18">
        <v>0</v>
      </c>
    </row>
    <row r="83" spans="1:5" x14ac:dyDescent="0.2">
      <c r="A83" t="s">
        <v>260</v>
      </c>
      <c r="B83" s="18">
        <f>-25000/1000</f>
        <v>-25</v>
      </c>
      <c r="C83" s="18">
        <v>0</v>
      </c>
      <c r="D83" s="18">
        <v>0</v>
      </c>
      <c r="E83" s="18">
        <v>0</v>
      </c>
    </row>
    <row r="84" spans="1:5" x14ac:dyDescent="0.2">
      <c r="A84" t="s">
        <v>261</v>
      </c>
      <c r="B84" s="18">
        <f>-6061/1000</f>
        <v>-6.0609999999999999</v>
      </c>
      <c r="C84" s="18">
        <v>0</v>
      </c>
      <c r="D84" s="18">
        <v>0</v>
      </c>
      <c r="E84" s="18">
        <v>0</v>
      </c>
    </row>
    <row r="85" spans="1:5" x14ac:dyDescent="0.2">
      <c r="A85" t="s">
        <v>267</v>
      </c>
      <c r="B85" s="18">
        <v>0</v>
      </c>
      <c r="C85" s="18">
        <v>0</v>
      </c>
      <c r="D85" s="18">
        <v>0</v>
      </c>
      <c r="E85" s="18">
        <f>2794/1000</f>
        <v>2.794</v>
      </c>
    </row>
    <row r="86" spans="1:5" x14ac:dyDescent="0.2">
      <c r="A86" t="s">
        <v>268</v>
      </c>
      <c r="B86" s="18">
        <v>0</v>
      </c>
      <c r="C86" s="18">
        <v>0</v>
      </c>
      <c r="D86" s="18">
        <v>0</v>
      </c>
      <c r="E86" s="18">
        <f>1140502/1000</f>
        <v>1140.502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CAA7D-E564-DB49-B5A3-641FEA39B98D}">
  <dimension ref="A1:N60"/>
  <sheetViews>
    <sheetView topLeftCell="A33" zoomScale="125" workbookViewId="0">
      <selection activeCell="D56" sqref="D56"/>
    </sheetView>
  </sheetViews>
  <sheetFormatPr baseColWidth="10" defaultRowHeight="16" x14ac:dyDescent="0.2"/>
  <cols>
    <col min="1" max="1" width="33.83203125" bestFit="1" customWidth="1"/>
    <col min="2" max="2" width="21.1640625" bestFit="1" customWidth="1"/>
    <col min="3" max="3" width="26.5" bestFit="1" customWidth="1"/>
    <col min="4" max="4" width="30.5" bestFit="1" customWidth="1"/>
    <col min="5" max="5" width="30.5" customWidth="1"/>
    <col min="6" max="6" width="20.1640625" bestFit="1" customWidth="1"/>
  </cols>
  <sheetData>
    <row r="1" spans="1:14" x14ac:dyDescent="0.2">
      <c r="A1" s="69" t="s">
        <v>334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</row>
    <row r="2" spans="1:14" x14ac:dyDescent="0.2">
      <c r="A2" s="43" t="s">
        <v>9</v>
      </c>
      <c r="B2" t="s">
        <v>335</v>
      </c>
      <c r="C2" t="s">
        <v>336</v>
      </c>
      <c r="D2" t="s">
        <v>334</v>
      </c>
      <c r="E2" t="s">
        <v>339</v>
      </c>
      <c r="F2" t="s">
        <v>337</v>
      </c>
    </row>
    <row r="3" spans="1:14" x14ac:dyDescent="0.2">
      <c r="A3" t="s">
        <v>1</v>
      </c>
      <c r="B3" s="57">
        <v>900</v>
      </c>
      <c r="C3" s="11">
        <f ca="1">D3/B3</f>
        <v>236623.33333333334</v>
      </c>
      <c r="D3" s="11">
        <f ca="1">B3*C3</f>
        <v>0</v>
      </c>
      <c r="E3" s="70">
        <f ca="1">D3/B3</f>
        <v>236623.33333333334</v>
      </c>
      <c r="F3" s="14">
        <f ca="1">D3/(_xlfn.XLOOKUP(A3,'P&amp;L'!$B$1:$M$1,'P&amp;L'!$B$2:$M$2)*1000000)</f>
        <v>0.27583763787931381</v>
      </c>
    </row>
    <row r="4" spans="1:14" x14ac:dyDescent="0.2">
      <c r="A4" t="s">
        <v>140</v>
      </c>
      <c r="B4">
        <v>1200</v>
      </c>
      <c r="C4" s="11">
        <f t="shared" ref="C4" si="0">D4/B4</f>
        <v>246712.5</v>
      </c>
      <c r="D4" s="11">
        <f>'P&amp;L'!C14*1000000</f>
        <v>296055000</v>
      </c>
      <c r="E4" s="70">
        <f t="shared" ref="E4:E14" si="1">D4/B4</f>
        <v>246712.5</v>
      </c>
      <c r="F4" s="14">
        <f>D4/(_xlfn.XLOOKUP(A4,'P&amp;L'!$B$1:$M$1,'P&amp;L'!$B$2:$M$2)*1000000)</f>
        <v>0.2041102652526843</v>
      </c>
    </row>
    <row r="5" spans="1:14" x14ac:dyDescent="0.2">
      <c r="A5" t="s">
        <v>141</v>
      </c>
      <c r="B5" s="34">
        <v>1100</v>
      </c>
      <c r="C5" s="11">
        <f>C4*(1+0.03)</f>
        <v>254113.875</v>
      </c>
      <c r="D5" s="11">
        <f>'P&amp;L'!D14*1000000</f>
        <v>263410000.00000003</v>
      </c>
      <c r="E5" s="70">
        <f t="shared" si="1"/>
        <v>239463.63636363638</v>
      </c>
      <c r="F5" s="14">
        <f>D5/(_xlfn.XLOOKUP(A5,'P&amp;L'!$B$1:$M$1,'P&amp;L'!$B$2:$M$2)*1000000)</f>
        <v>0.15714214978287885</v>
      </c>
    </row>
    <row r="6" spans="1:14" x14ac:dyDescent="0.2">
      <c r="A6" t="s">
        <v>55</v>
      </c>
      <c r="B6" s="34">
        <f>B5</f>
        <v>1100</v>
      </c>
      <c r="C6" s="11">
        <f t="shared" ref="C6:C14" si="2">C5*(1+0.03)</f>
        <v>261737.29125000001</v>
      </c>
      <c r="D6" s="11">
        <f>'P&amp;L'!E14*1000000</f>
        <v>579012000</v>
      </c>
      <c r="E6" s="70">
        <f t="shared" si="1"/>
        <v>526374.54545454541</v>
      </c>
      <c r="F6" s="14">
        <f>D6/(_xlfn.XLOOKUP(A6,'P&amp;L'!$B$1:$M$1,'P&amp;L'!$B$2:$M$2)*1000000)</f>
        <v>0.46820970508251719</v>
      </c>
    </row>
    <row r="7" spans="1:14" x14ac:dyDescent="0.2">
      <c r="A7" t="s">
        <v>142</v>
      </c>
      <c r="B7" s="34">
        <f>B5*(1+'Drivers &amp; Assumptons'!$C$51)</f>
        <v>1188</v>
      </c>
      <c r="C7" s="11">
        <f t="shared" si="2"/>
        <v>269589.4099875</v>
      </c>
      <c r="D7" s="11">
        <f>'P&amp;L'!F14*1000000</f>
        <v>475836330.51813787</v>
      </c>
      <c r="E7" s="70">
        <f t="shared" si="1"/>
        <v>400535.63174927433</v>
      </c>
      <c r="F7" s="14">
        <f>D7/(_xlfn.XLOOKUP(A7,'P&amp;L'!$B$1:$M$1,'P&amp;L'!$B$2:$M$2)*1000000)</f>
        <v>0.19064999999999999</v>
      </c>
    </row>
    <row r="8" spans="1:14" x14ac:dyDescent="0.2">
      <c r="A8" t="s">
        <v>2</v>
      </c>
      <c r="B8" s="34">
        <f>B7*(1+'Drivers &amp; Assumptons'!$C$51)</f>
        <v>1283.0400000000002</v>
      </c>
      <c r="C8" s="11">
        <f t="shared" si="2"/>
        <v>277677.09228712501</v>
      </c>
      <c r="D8" s="11">
        <f>'P&amp;L'!G14*1000000</f>
        <v>431159788.22391582</v>
      </c>
      <c r="E8" s="70">
        <f t="shared" si="1"/>
        <v>336045.47654314421</v>
      </c>
      <c r="F8" s="14">
        <f>D8/(_xlfn.XLOOKUP(A8,'P&amp;L'!$B$1:$M$1,'P&amp;L'!$B$2:$M$2)*1000000)</f>
        <v>0.19064999999999999</v>
      </c>
    </row>
    <row r="9" spans="1:14" x14ac:dyDescent="0.2">
      <c r="A9" t="s">
        <v>3</v>
      </c>
      <c r="B9" s="34">
        <f>B8*(1+'Drivers &amp; Assumptons'!$C$51)</f>
        <v>1385.6832000000004</v>
      </c>
      <c r="C9" s="11">
        <f t="shared" si="2"/>
        <v>286007.40505573875</v>
      </c>
      <c r="D9" s="11">
        <f>'P&amp;L'!H14*1000000</f>
        <v>418552933.43223882</v>
      </c>
      <c r="E9" s="70">
        <f t="shared" si="1"/>
        <v>302055.28466552723</v>
      </c>
      <c r="F9" s="14">
        <f>D9/(_xlfn.XLOOKUP(A9,'P&amp;L'!$B$1:$M$1,'P&amp;L'!$B$2:$M$2)*1000000)</f>
        <v>0.19064999999999999</v>
      </c>
    </row>
    <row r="10" spans="1:14" x14ac:dyDescent="0.2">
      <c r="A10" t="s">
        <v>4</v>
      </c>
      <c r="B10" s="34">
        <f>B9*(1+'Drivers &amp; Assumptons'!$C$51-0.02)</f>
        <v>1468.8241920000005</v>
      </c>
      <c r="C10" s="11">
        <f t="shared" si="2"/>
        <v>294587.62720741093</v>
      </c>
      <c r="D10" s="11">
        <f>'P&amp;L'!I14*1000000</f>
        <v>423267717.37071627</v>
      </c>
      <c r="E10" s="70">
        <f t="shared" si="1"/>
        <v>288167.71923832537</v>
      </c>
      <c r="F10" s="14">
        <f>D10/(_xlfn.XLOOKUP(A10,'P&amp;L'!$B$1:$M$1,'P&amp;L'!$B$2:$M$2)*1000000)</f>
        <v>0.19064999999999999</v>
      </c>
    </row>
    <row r="11" spans="1:14" x14ac:dyDescent="0.2">
      <c r="A11" t="s">
        <v>5</v>
      </c>
      <c r="B11" s="34">
        <f>B10*(1+'Drivers &amp; Assumptons'!$C$51-0.02)</f>
        <v>1556.9536435200007</v>
      </c>
      <c r="C11" s="11">
        <f t="shared" si="2"/>
        <v>303425.25602363329</v>
      </c>
      <c r="D11" s="11">
        <f>'P&amp;L'!J14*1000000</f>
        <v>426084655.16993427</v>
      </c>
      <c r="E11" s="70">
        <f t="shared" si="1"/>
        <v>273665.60137694993</v>
      </c>
      <c r="F11" s="14">
        <f>D11/(_xlfn.XLOOKUP(A11,'P&amp;L'!$B$1:$M$1,'P&amp;L'!$B$2:$M$2)*1000000)</f>
        <v>0.19064999999999999</v>
      </c>
    </row>
    <row r="12" spans="1:14" x14ac:dyDescent="0.2">
      <c r="A12" t="s">
        <v>6</v>
      </c>
      <c r="B12" s="34">
        <f>B11*(1+'Drivers &amp; Assumptons'!$C$51-0.03)</f>
        <v>1634.8013256960007</v>
      </c>
      <c r="C12" s="11">
        <f t="shared" si="2"/>
        <v>312528.0137043423</v>
      </c>
      <c r="D12" s="11">
        <f>'P&amp;L'!K14*1000000</f>
        <v>452420765.5624063</v>
      </c>
      <c r="E12" s="70">
        <f t="shared" si="1"/>
        <v>276743.57639133465</v>
      </c>
      <c r="F12" s="14">
        <f>D12/(_xlfn.XLOOKUP(A12,'P&amp;L'!$B$1:$M$1,'P&amp;L'!$B$2:$M$2)*1000000)</f>
        <v>0.19064999999999996</v>
      </c>
    </row>
    <row r="13" spans="1:14" x14ac:dyDescent="0.2">
      <c r="A13" t="s">
        <v>143</v>
      </c>
      <c r="B13" s="34">
        <f>B12*(1+'Drivers &amp; Assumptons'!$C$51-0.03)</f>
        <v>1716.5413919808009</v>
      </c>
      <c r="C13" s="11">
        <f t="shared" si="2"/>
        <v>321903.85411547258</v>
      </c>
      <c r="D13" s="11">
        <f>'P&amp;L'!L14*1000000</f>
        <v>489546147.11825794</v>
      </c>
      <c r="E13" s="70">
        <f t="shared" si="1"/>
        <v>285193.32502279291</v>
      </c>
      <c r="F13" s="14">
        <f>D13/(_xlfn.XLOOKUP(A13,'P&amp;L'!$B$1:$M$1,'P&amp;L'!$B$2:$M$2)*1000000)</f>
        <v>0.19064999999999996</v>
      </c>
    </row>
    <row r="14" spans="1:14" x14ac:dyDescent="0.2">
      <c r="A14" t="s">
        <v>144</v>
      </c>
      <c r="B14" s="34">
        <f>B13*(1+'Drivers &amp; Assumptons'!$C$51-0.03)</f>
        <v>1802.3684615798411</v>
      </c>
      <c r="C14" s="11">
        <f t="shared" si="2"/>
        <v>331560.96973893675</v>
      </c>
      <c r="D14" s="11">
        <f>'P&amp;L'!M14*1000000</f>
        <v>549774750.30337453</v>
      </c>
      <c r="E14" s="70">
        <f t="shared" si="1"/>
        <v>305029.05594646116</v>
      </c>
      <c r="F14" s="14">
        <f>D14/(_xlfn.XLOOKUP(A14,'P&amp;L'!$B$1:$M$1,'P&amp;L'!$B$2:$M$2)*1000000)</f>
        <v>0.19065000000000004</v>
      </c>
    </row>
    <row r="16" spans="1:14" x14ac:dyDescent="0.2">
      <c r="A16" s="8" t="s">
        <v>338</v>
      </c>
    </row>
    <row r="17" spans="1:6" x14ac:dyDescent="0.2">
      <c r="A17" t="s">
        <v>9</v>
      </c>
      <c r="B17" t="s">
        <v>271</v>
      </c>
      <c r="C17" t="s">
        <v>270</v>
      </c>
      <c r="D17" t="s">
        <v>273</v>
      </c>
      <c r="F17" t="s">
        <v>272</v>
      </c>
    </row>
    <row r="18" spans="1:6" x14ac:dyDescent="0.2">
      <c r="A18" t="s">
        <v>1</v>
      </c>
      <c r="B18" s="49">
        <v>0</v>
      </c>
      <c r="C18" s="11"/>
      <c r="D18" s="11"/>
      <c r="E18" s="11"/>
      <c r="F18" s="11"/>
    </row>
    <row r="19" spans="1:6" x14ac:dyDescent="0.2">
      <c r="A19" t="s">
        <v>140</v>
      </c>
      <c r="B19" s="11">
        <f>'Balance Sheet'!B17</f>
        <v>2.6190000000000002</v>
      </c>
    </row>
    <row r="20" spans="1:6" x14ac:dyDescent="0.2">
      <c r="A20" t="s">
        <v>141</v>
      </c>
      <c r="B20" s="11">
        <f>'Balance Sheet'!C17</f>
        <v>18.681999999999999</v>
      </c>
    </row>
    <row r="21" spans="1:6" x14ac:dyDescent="0.2">
      <c r="A21" t="s">
        <v>55</v>
      </c>
      <c r="B21" s="11">
        <f>'Balance Sheet'!D17</f>
        <v>23.803999999999998</v>
      </c>
    </row>
    <row r="22" spans="1:6" x14ac:dyDescent="0.2">
      <c r="A22" t="s">
        <v>142</v>
      </c>
      <c r="B22" s="11">
        <f>'Balance Sheet'!E17</f>
        <v>28.564799999999998</v>
      </c>
    </row>
    <row r="23" spans="1:6" x14ac:dyDescent="0.2">
      <c r="A23" t="s">
        <v>2</v>
      </c>
      <c r="B23" s="11">
        <f>'Balance Sheet'!F17</f>
        <v>29.298697695605011</v>
      </c>
    </row>
    <row r="24" spans="1:6" x14ac:dyDescent="0.2">
      <c r="A24" t="s">
        <v>3</v>
      </c>
      <c r="B24" s="11">
        <f>'Balance Sheet'!G17</f>
        <v>30.051450969670729</v>
      </c>
    </row>
    <row r="25" spans="1:6" x14ac:dyDescent="0.2">
      <c r="A25" t="s">
        <v>4</v>
      </c>
      <c r="B25" s="11">
        <f>'Balance Sheet'!H17</f>
        <v>30.823544266883676</v>
      </c>
    </row>
    <row r="26" spans="1:6" x14ac:dyDescent="0.2">
      <c r="A26" t="s">
        <v>5</v>
      </c>
      <c r="B26" s="11">
        <f>'Balance Sheet'!I17</f>
        <v>31.615474478467338</v>
      </c>
    </row>
    <row r="27" spans="1:6" x14ac:dyDescent="0.2">
      <c r="A27" t="s">
        <v>6</v>
      </c>
      <c r="B27" s="11">
        <f>'Balance Sheet'!J17</f>
        <v>32.42775126196333</v>
      </c>
    </row>
    <row r="28" spans="1:6" x14ac:dyDescent="0.2">
      <c r="A28" t="s">
        <v>143</v>
      </c>
      <c r="B28" s="11">
        <f>'Balance Sheet'!K17</f>
        <v>33.260897369228474</v>
      </c>
    </row>
    <row r="29" spans="1:6" x14ac:dyDescent="0.2">
      <c r="A29" t="s">
        <v>144</v>
      </c>
      <c r="B29" s="11">
        <f>'Balance Sheet'!L17</f>
        <v>34.115448982858943</v>
      </c>
    </row>
    <row r="33" spans="1:3" x14ac:dyDescent="0.2">
      <c r="A33" s="8" t="s">
        <v>297</v>
      </c>
      <c r="C33" t="s">
        <v>306</v>
      </c>
    </row>
    <row r="34" spans="1:3" x14ac:dyDescent="0.2">
      <c r="A34" s="8" t="s">
        <v>299</v>
      </c>
    </row>
    <row r="35" spans="1:3" x14ac:dyDescent="0.2">
      <c r="A35" t="s">
        <v>298</v>
      </c>
      <c r="B35" s="49">
        <v>134.1</v>
      </c>
      <c r="C35" s="59" t="s">
        <v>307</v>
      </c>
    </row>
    <row r="36" spans="1:3" x14ac:dyDescent="0.2">
      <c r="A36" t="s">
        <v>300</v>
      </c>
      <c r="B36" s="63">
        <v>220000000</v>
      </c>
    </row>
    <row r="37" spans="1:3" x14ac:dyDescent="0.2">
      <c r="A37" s="8" t="s">
        <v>299</v>
      </c>
      <c r="B37" s="58">
        <f>B35*B36</f>
        <v>29502000000</v>
      </c>
    </row>
    <row r="39" spans="1:3" x14ac:dyDescent="0.2">
      <c r="A39" t="s">
        <v>302</v>
      </c>
      <c r="B39" s="64">
        <v>221600000</v>
      </c>
    </row>
    <row r="41" spans="1:3" x14ac:dyDescent="0.2">
      <c r="A41" s="8" t="s">
        <v>303</v>
      </c>
    </row>
    <row r="42" spans="1:3" x14ac:dyDescent="0.2">
      <c r="A42" t="s">
        <v>304</v>
      </c>
      <c r="B42" s="65">
        <v>3.9E-2</v>
      </c>
      <c r="C42" t="s">
        <v>308</v>
      </c>
    </row>
    <row r="43" spans="1:3" x14ac:dyDescent="0.2">
      <c r="A43" t="s">
        <v>309</v>
      </c>
      <c r="B43" s="66">
        <v>2</v>
      </c>
      <c r="C43" t="s">
        <v>310</v>
      </c>
    </row>
    <row r="44" spans="1:3" x14ac:dyDescent="0.2">
      <c r="A44" t="s">
        <v>305</v>
      </c>
      <c r="B44" s="67">
        <v>5.5E-2</v>
      </c>
      <c r="C44" t="s">
        <v>311</v>
      </c>
    </row>
    <row r="45" spans="1:3" x14ac:dyDescent="0.2">
      <c r="A45" s="8" t="s">
        <v>303</v>
      </c>
      <c r="B45" s="24">
        <f>B42+B43*B44</f>
        <v>0.14899999999999999</v>
      </c>
    </row>
    <row r="46" spans="1:3" x14ac:dyDescent="0.2">
      <c r="A46" s="8"/>
    </row>
    <row r="47" spans="1:3" x14ac:dyDescent="0.2">
      <c r="A47" s="8" t="s">
        <v>313</v>
      </c>
    </row>
    <row r="48" spans="1:3" x14ac:dyDescent="0.2">
      <c r="A48" s="43" t="s">
        <v>319</v>
      </c>
      <c r="B48" s="65">
        <v>7.0000000000000007E-2</v>
      </c>
      <c r="C48" s="43" t="s">
        <v>321</v>
      </c>
    </row>
    <row r="49" spans="1:2" x14ac:dyDescent="0.2">
      <c r="A49" s="43" t="s">
        <v>320</v>
      </c>
      <c r="B49" s="65">
        <f>B48*(1-B58)</f>
        <v>5.5300000000000009E-2</v>
      </c>
    </row>
    <row r="51" spans="1:2" x14ac:dyDescent="0.2">
      <c r="A51" s="8" t="s">
        <v>322</v>
      </c>
    </row>
    <row r="52" spans="1:2" x14ac:dyDescent="0.2">
      <c r="A52" t="s">
        <v>315</v>
      </c>
      <c r="B52" s="19">
        <f>B37 / 1000000</f>
        <v>29502</v>
      </c>
    </row>
    <row r="53" spans="1:2" x14ac:dyDescent="0.2">
      <c r="A53" t="s">
        <v>301</v>
      </c>
      <c r="B53" s="62">
        <f>B39/1000000</f>
        <v>221.6</v>
      </c>
    </row>
    <row r="54" spans="1:2" x14ac:dyDescent="0.2">
      <c r="A54" t="s">
        <v>316</v>
      </c>
      <c r="B54" s="11">
        <f>SUM(B52:B53)</f>
        <v>29723.599999999999</v>
      </c>
    </row>
    <row r="55" spans="1:2" x14ac:dyDescent="0.2">
      <c r="A55" t="s">
        <v>314</v>
      </c>
      <c r="B55" s="52">
        <f>B52/(B54)</f>
        <v>0.99254464465946257</v>
      </c>
    </row>
    <row r="56" spans="1:2" x14ac:dyDescent="0.2">
      <c r="A56" t="s">
        <v>317</v>
      </c>
      <c r="B56" s="52">
        <f>B53/B54</f>
        <v>7.4553553405374857E-3</v>
      </c>
    </row>
    <row r="58" spans="1:2" x14ac:dyDescent="0.2">
      <c r="A58" t="s">
        <v>134</v>
      </c>
      <c r="B58" s="20">
        <f>'Drivers &amp; Assumptons'!C18</f>
        <v>0.21</v>
      </c>
    </row>
    <row r="59" spans="1:2" x14ac:dyDescent="0.2">
      <c r="B59" s="20"/>
    </row>
    <row r="60" spans="1:2" x14ac:dyDescent="0.2">
      <c r="A60" s="8" t="s">
        <v>318</v>
      </c>
      <c r="B60" s="14">
        <f>(B45*B55)+(B49*B56)</f>
        <v>0.14830143320459166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290F6-C08A-9940-BEE8-5ECDB476D2B0}">
  <dimension ref="A1:E51"/>
  <sheetViews>
    <sheetView workbookViewId="0">
      <pane ySplit="1" topLeftCell="A2" activePane="bottomLeft" state="frozen"/>
      <selection pane="bottomLeft" activeCell="C16" sqref="C16"/>
    </sheetView>
  </sheetViews>
  <sheetFormatPr baseColWidth="10" defaultRowHeight="16" x14ac:dyDescent="0.2"/>
  <cols>
    <col min="1" max="1" width="22.33203125" bestFit="1" customWidth="1"/>
    <col min="5" max="5" width="13.6640625" bestFit="1" customWidth="1"/>
  </cols>
  <sheetData>
    <row r="1" spans="1:5" x14ac:dyDescent="0.2">
      <c r="A1" t="s">
        <v>283</v>
      </c>
      <c r="B1" t="s">
        <v>77</v>
      </c>
      <c r="C1" t="s">
        <v>284</v>
      </c>
      <c r="D1" t="s">
        <v>285</v>
      </c>
      <c r="E1" t="s">
        <v>289</v>
      </c>
    </row>
    <row r="2" spans="1:5" x14ac:dyDescent="0.2">
      <c r="A2" t="s">
        <v>286</v>
      </c>
      <c r="B2" s="14">
        <f>'Drivers &amp; Assumptons'!C5</f>
        <v>0.08</v>
      </c>
      <c r="C2" s="14">
        <v>0.05</v>
      </c>
      <c r="D2" s="14">
        <v>0.15</v>
      </c>
      <c r="E2" s="52">
        <v>0.02</v>
      </c>
    </row>
    <row r="3" spans="1:5" x14ac:dyDescent="0.2">
      <c r="A3" t="s">
        <v>287</v>
      </c>
      <c r="B3" s="52">
        <f>'Drivers &amp; Assumptons'!C17</f>
        <v>4.1000000000000002E-2</v>
      </c>
      <c r="C3" s="52">
        <v>2.5000000000000001E-2</v>
      </c>
      <c r="D3" s="52">
        <v>4.4999999999999998E-2</v>
      </c>
      <c r="E3" s="52">
        <v>0.03</v>
      </c>
    </row>
    <row r="4" spans="1:5" x14ac:dyDescent="0.2">
      <c r="A4" t="s">
        <v>288</v>
      </c>
      <c r="B4" s="52"/>
      <c r="C4" s="52"/>
      <c r="D4" s="52"/>
      <c r="E4" s="52"/>
    </row>
    <row r="5" spans="1:5" x14ac:dyDescent="0.2">
      <c r="A5" t="s">
        <v>293</v>
      </c>
      <c r="B5" s="52">
        <v>0.2</v>
      </c>
      <c r="C5" s="52">
        <v>0.15</v>
      </c>
      <c r="D5" s="52">
        <v>0.3</v>
      </c>
      <c r="E5" s="52">
        <v>0.2</v>
      </c>
    </row>
    <row r="6" spans="1:5" x14ac:dyDescent="0.2">
      <c r="A6" t="s">
        <v>312</v>
      </c>
      <c r="B6" s="61">
        <v>2</v>
      </c>
      <c r="C6" s="60">
        <v>1.8</v>
      </c>
      <c r="D6" s="60">
        <v>2.5</v>
      </c>
      <c r="E6" s="60"/>
    </row>
    <row r="7" spans="1:5" x14ac:dyDescent="0.2">
      <c r="A7" t="s">
        <v>305</v>
      </c>
      <c r="B7" s="52">
        <v>5.5E-2</v>
      </c>
      <c r="C7" s="52">
        <v>4.4999999999999998E-2</v>
      </c>
      <c r="D7" s="52">
        <v>6.5000000000000002E-2</v>
      </c>
      <c r="E7" s="52"/>
    </row>
    <row r="8" spans="1:5" x14ac:dyDescent="0.2">
      <c r="A8" t="s">
        <v>325</v>
      </c>
      <c r="B8" s="52">
        <v>2.5000000000000001E-2</v>
      </c>
      <c r="C8" s="52">
        <v>0.02</v>
      </c>
      <c r="D8" s="52">
        <v>0.03</v>
      </c>
      <c r="E8" s="52"/>
    </row>
    <row r="9" spans="1:5" x14ac:dyDescent="0.2">
      <c r="B9" s="52"/>
      <c r="C9" s="52"/>
      <c r="D9" s="52"/>
      <c r="E9" s="52"/>
    </row>
    <row r="10" spans="1:5" x14ac:dyDescent="0.2">
      <c r="B10" s="52"/>
      <c r="C10" s="52"/>
      <c r="D10" s="52"/>
      <c r="E10" s="52"/>
    </row>
    <row r="11" spans="1:5" x14ac:dyDescent="0.2">
      <c r="B11" s="52"/>
      <c r="C11" s="52"/>
      <c r="D11" s="52"/>
      <c r="E11" s="52"/>
    </row>
    <row r="12" spans="1:5" x14ac:dyDescent="0.2">
      <c r="B12" s="52"/>
      <c r="C12" s="52"/>
      <c r="D12" s="52"/>
      <c r="E12" s="52"/>
    </row>
    <row r="13" spans="1:5" x14ac:dyDescent="0.2">
      <c r="B13" s="52"/>
      <c r="C13" s="52"/>
      <c r="D13" s="52"/>
      <c r="E13" s="52"/>
    </row>
    <row r="14" spans="1:5" x14ac:dyDescent="0.2">
      <c r="B14" s="52"/>
      <c r="C14" s="52"/>
      <c r="D14" s="52"/>
      <c r="E14" s="52"/>
    </row>
    <row r="15" spans="1:5" x14ac:dyDescent="0.2">
      <c r="B15" s="52"/>
      <c r="C15" s="52"/>
      <c r="D15" s="52"/>
      <c r="E15" s="52"/>
    </row>
    <row r="16" spans="1:5" x14ac:dyDescent="0.2">
      <c r="B16" s="52"/>
      <c r="C16" s="52"/>
      <c r="D16" s="52"/>
      <c r="E16" s="52"/>
    </row>
    <row r="17" spans="2:5" x14ac:dyDescent="0.2">
      <c r="B17" s="52"/>
      <c r="C17" s="52"/>
      <c r="D17" s="52"/>
      <c r="E17" s="52"/>
    </row>
    <row r="18" spans="2:5" x14ac:dyDescent="0.2">
      <c r="B18" s="52"/>
      <c r="C18" s="52"/>
      <c r="D18" s="52"/>
      <c r="E18" s="52"/>
    </row>
    <row r="19" spans="2:5" x14ac:dyDescent="0.2">
      <c r="B19" s="52"/>
      <c r="C19" s="52"/>
      <c r="D19" s="52"/>
      <c r="E19" s="52"/>
    </row>
    <row r="20" spans="2:5" x14ac:dyDescent="0.2">
      <c r="B20" s="52"/>
      <c r="C20" s="52"/>
      <c r="D20" s="52"/>
      <c r="E20" s="52"/>
    </row>
    <row r="21" spans="2:5" x14ac:dyDescent="0.2">
      <c r="B21" s="52"/>
      <c r="C21" s="52"/>
      <c r="D21" s="52"/>
      <c r="E21" s="52"/>
    </row>
    <row r="22" spans="2:5" x14ac:dyDescent="0.2">
      <c r="B22" s="52"/>
      <c r="C22" s="52"/>
      <c r="D22" s="52"/>
      <c r="E22" s="52"/>
    </row>
    <row r="23" spans="2:5" x14ac:dyDescent="0.2">
      <c r="B23" s="52"/>
      <c r="C23" s="52"/>
      <c r="D23" s="52"/>
      <c r="E23" s="52"/>
    </row>
    <row r="24" spans="2:5" x14ac:dyDescent="0.2">
      <c r="B24" s="52"/>
      <c r="C24" s="52"/>
      <c r="D24" s="52"/>
      <c r="E24" s="52"/>
    </row>
    <row r="25" spans="2:5" x14ac:dyDescent="0.2">
      <c r="B25" s="52"/>
      <c r="C25" s="52"/>
      <c r="D25" s="52"/>
      <c r="E25" s="52"/>
    </row>
    <row r="26" spans="2:5" x14ac:dyDescent="0.2">
      <c r="B26" s="52"/>
      <c r="C26" s="52"/>
      <c r="D26" s="52"/>
      <c r="E26" s="52"/>
    </row>
    <row r="27" spans="2:5" x14ac:dyDescent="0.2">
      <c r="B27" s="52"/>
      <c r="C27" s="52"/>
      <c r="D27" s="52"/>
      <c r="E27" s="52"/>
    </row>
    <row r="28" spans="2:5" x14ac:dyDescent="0.2">
      <c r="B28" s="52"/>
      <c r="C28" s="52"/>
      <c r="D28" s="52"/>
      <c r="E28" s="52"/>
    </row>
    <row r="29" spans="2:5" x14ac:dyDescent="0.2">
      <c r="B29" s="52"/>
      <c r="C29" s="52"/>
      <c r="D29" s="52"/>
      <c r="E29" s="52"/>
    </row>
    <row r="30" spans="2:5" x14ac:dyDescent="0.2">
      <c r="B30" s="52"/>
      <c r="C30" s="52"/>
      <c r="D30" s="52"/>
      <c r="E30" s="52"/>
    </row>
    <row r="31" spans="2:5" x14ac:dyDescent="0.2">
      <c r="B31" s="52"/>
      <c r="C31" s="52"/>
      <c r="D31" s="52"/>
      <c r="E31" s="52"/>
    </row>
    <row r="32" spans="2:5" x14ac:dyDescent="0.2">
      <c r="B32" s="52"/>
      <c r="C32" s="52"/>
      <c r="D32" s="52"/>
      <c r="E32" s="52"/>
    </row>
    <row r="33" spans="2:5" x14ac:dyDescent="0.2">
      <c r="B33" s="52"/>
      <c r="C33" s="52"/>
      <c r="D33" s="52"/>
      <c r="E33" s="52"/>
    </row>
    <row r="34" spans="2:5" x14ac:dyDescent="0.2">
      <c r="B34" s="52"/>
      <c r="C34" s="52"/>
      <c r="D34" s="52"/>
      <c r="E34" s="52"/>
    </row>
    <row r="35" spans="2:5" x14ac:dyDescent="0.2">
      <c r="B35" s="52"/>
      <c r="C35" s="52"/>
      <c r="D35" s="52"/>
      <c r="E35" s="52"/>
    </row>
    <row r="36" spans="2:5" x14ac:dyDescent="0.2">
      <c r="B36" s="52"/>
      <c r="C36" s="52"/>
      <c r="D36" s="52"/>
      <c r="E36" s="52"/>
    </row>
    <row r="37" spans="2:5" x14ac:dyDescent="0.2">
      <c r="B37" s="52"/>
      <c r="C37" s="52"/>
      <c r="D37" s="52"/>
      <c r="E37" s="52"/>
    </row>
    <row r="38" spans="2:5" x14ac:dyDescent="0.2">
      <c r="B38" s="52"/>
      <c r="C38" s="52"/>
      <c r="D38" s="52"/>
      <c r="E38" s="52"/>
    </row>
    <row r="39" spans="2:5" x14ac:dyDescent="0.2">
      <c r="B39" s="52"/>
      <c r="C39" s="52"/>
      <c r="D39" s="52"/>
      <c r="E39" s="52"/>
    </row>
    <row r="40" spans="2:5" x14ac:dyDescent="0.2">
      <c r="B40" s="52"/>
      <c r="C40" s="52"/>
      <c r="D40" s="52"/>
      <c r="E40" s="52"/>
    </row>
    <row r="41" spans="2:5" x14ac:dyDescent="0.2">
      <c r="B41" s="14"/>
      <c r="C41" s="14"/>
      <c r="D41" s="14"/>
      <c r="E41" s="14"/>
    </row>
    <row r="42" spans="2:5" x14ac:dyDescent="0.2">
      <c r="B42" s="14"/>
      <c r="C42" s="14"/>
      <c r="D42" s="14"/>
      <c r="E42" s="14"/>
    </row>
    <row r="43" spans="2:5" x14ac:dyDescent="0.2">
      <c r="B43" s="14"/>
      <c r="C43" s="14"/>
      <c r="D43" s="14"/>
      <c r="E43" s="14"/>
    </row>
    <row r="44" spans="2:5" x14ac:dyDescent="0.2">
      <c r="B44" s="14"/>
      <c r="C44" s="14"/>
      <c r="D44" s="14"/>
      <c r="E44" s="14"/>
    </row>
    <row r="45" spans="2:5" x14ac:dyDescent="0.2">
      <c r="B45" s="14"/>
      <c r="C45" s="14"/>
      <c r="D45" s="14"/>
      <c r="E45" s="14"/>
    </row>
    <row r="46" spans="2:5" x14ac:dyDescent="0.2">
      <c r="B46" s="14"/>
      <c r="C46" s="14"/>
      <c r="D46" s="14"/>
      <c r="E46" s="14"/>
    </row>
    <row r="47" spans="2:5" x14ac:dyDescent="0.2">
      <c r="B47" s="14"/>
      <c r="C47" s="14"/>
      <c r="D47" s="14"/>
      <c r="E47" s="14"/>
    </row>
    <row r="48" spans="2:5" x14ac:dyDescent="0.2">
      <c r="B48" s="14"/>
      <c r="C48" s="14"/>
      <c r="D48" s="14"/>
      <c r="E48" s="14"/>
    </row>
    <row r="49" spans="2:5" x14ac:dyDescent="0.2">
      <c r="B49" s="14"/>
      <c r="C49" s="14"/>
      <c r="D49" s="14"/>
      <c r="E49" s="14"/>
    </row>
    <row r="50" spans="2:5" x14ac:dyDescent="0.2">
      <c r="B50" s="14"/>
      <c r="C50" s="14"/>
      <c r="D50" s="14"/>
      <c r="E50" s="14"/>
    </row>
    <row r="51" spans="2:5" x14ac:dyDescent="0.2">
      <c r="B51" s="14"/>
      <c r="C51" s="14"/>
      <c r="D51" s="14"/>
      <c r="E51" s="14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A8337-34AE-7D40-9461-A3E41C8569A5}">
  <dimension ref="A1:F6"/>
  <sheetViews>
    <sheetView workbookViewId="0">
      <selection activeCell="B2" sqref="B2:F6"/>
    </sheetView>
  </sheetViews>
  <sheetFormatPr baseColWidth="10" defaultRowHeight="16" x14ac:dyDescent="0.2"/>
  <sheetData>
    <row r="1" spans="1:6" x14ac:dyDescent="0.2">
      <c r="D1" s="14"/>
    </row>
    <row r="2" spans="1:6" x14ac:dyDescent="0.2">
      <c r="B2" s="12">
        <f>Valuation!K31</f>
        <v>14.214106356908957</v>
      </c>
      <c r="C2" s="75">
        <v>0.02</v>
      </c>
      <c r="D2" s="75">
        <v>0.03</v>
      </c>
      <c r="E2" s="75">
        <v>0.04</v>
      </c>
      <c r="F2" s="75">
        <v>0.05</v>
      </c>
    </row>
    <row r="3" spans="1:6" x14ac:dyDescent="0.2">
      <c r="B3" s="75">
        <v>0.12</v>
      </c>
      <c r="C3" s="71">
        <f t="dataTable" ref="C3:F6" dt2D="1" dtr="1" r1="D1" r2="A4"/>
        <v>14.214106356908957</v>
      </c>
      <c r="D3" s="71">
        <v>14.214106356908957</v>
      </c>
      <c r="E3" s="71">
        <v>14.214106356908957</v>
      </c>
      <c r="F3" s="71">
        <v>14.214106356908957</v>
      </c>
    </row>
    <row r="4" spans="1:6" x14ac:dyDescent="0.2">
      <c r="A4" s="14"/>
      <c r="B4" s="75">
        <v>0.13</v>
      </c>
      <c r="C4" s="71">
        <v>14.214106356908957</v>
      </c>
      <c r="D4" s="71">
        <v>14.214106356908957</v>
      </c>
      <c r="E4" s="71">
        <v>14.214106356908957</v>
      </c>
      <c r="F4" s="71">
        <v>14.214106356908957</v>
      </c>
    </row>
    <row r="5" spans="1:6" x14ac:dyDescent="0.2">
      <c r="B5" s="75">
        <v>0.14000000000000001</v>
      </c>
      <c r="C5" s="71">
        <v>14.214106356908957</v>
      </c>
      <c r="D5" s="71">
        <v>14.214106356908957</v>
      </c>
      <c r="E5" s="71">
        <v>14.214106356908957</v>
      </c>
      <c r="F5" s="71">
        <v>14.214106356908957</v>
      </c>
    </row>
    <row r="6" spans="1:6" x14ac:dyDescent="0.2">
      <c r="B6" s="75">
        <v>0.15</v>
      </c>
      <c r="C6" s="71">
        <v>14.214106356908957</v>
      </c>
      <c r="D6" s="71">
        <v>14.214106356908957</v>
      </c>
      <c r="E6" s="71">
        <v>14.214106356908957</v>
      </c>
      <c r="F6" s="71">
        <v>14.214106356908957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69CC1-75A3-3142-9687-B4802A19459C}">
  <dimension ref="A1:T49"/>
  <sheetViews>
    <sheetView tabSelected="1" workbookViewId="0"/>
  </sheetViews>
  <sheetFormatPr baseColWidth="10" defaultRowHeight="16" x14ac:dyDescent="0.2"/>
  <cols>
    <col min="1" max="1" width="40.1640625" bestFit="1" customWidth="1"/>
    <col min="2" max="2" width="9" bestFit="1" customWidth="1"/>
    <col min="3" max="3" width="13.6640625" bestFit="1" customWidth="1"/>
    <col min="4" max="4" width="9.6640625" bestFit="1" customWidth="1"/>
    <col min="5" max="5" width="13.33203125" bestFit="1" customWidth="1"/>
    <col min="6" max="6" width="16.83203125" bestFit="1" customWidth="1"/>
    <col min="7" max="10" width="8.6640625" bestFit="1" customWidth="1"/>
    <col min="11" max="11" width="42.1640625" bestFit="1" customWidth="1"/>
    <col min="12" max="12" width="41.83203125" bestFit="1" customWidth="1"/>
    <col min="13" max="13" width="50.83203125" bestFit="1" customWidth="1"/>
    <col min="15" max="15" width="44.1640625" bestFit="1" customWidth="1"/>
    <col min="16" max="16" width="50.83203125" bestFit="1" customWidth="1"/>
  </cols>
  <sheetData>
    <row r="1" spans="1:20" x14ac:dyDescent="0.2">
      <c r="A1" s="44" t="s">
        <v>92</v>
      </c>
      <c r="B1" s="54" t="s">
        <v>141</v>
      </c>
      <c r="C1" s="45" t="s">
        <v>142</v>
      </c>
      <c r="D1" s="45" t="s">
        <v>2</v>
      </c>
      <c r="E1" s="45" t="s">
        <v>3</v>
      </c>
      <c r="F1" s="45" t="s">
        <v>4</v>
      </c>
      <c r="G1" s="45" t="s">
        <v>5</v>
      </c>
      <c r="H1" s="45" t="s">
        <v>6</v>
      </c>
      <c r="I1" s="45" t="s">
        <v>143</v>
      </c>
      <c r="J1" s="45" t="s">
        <v>144</v>
      </c>
      <c r="K1" s="45"/>
      <c r="L1" t="s">
        <v>385</v>
      </c>
      <c r="M1" t="s">
        <v>386</v>
      </c>
      <c r="O1" s="45"/>
      <c r="P1" s="45"/>
      <c r="Q1" s="45"/>
      <c r="R1" s="45"/>
      <c r="S1" s="45"/>
      <c r="T1" s="45"/>
    </row>
    <row r="2" spans="1:20" x14ac:dyDescent="0.2">
      <c r="A2" s="54" t="s">
        <v>295</v>
      </c>
      <c r="B2" s="56">
        <f>'Balance Sheet'!C13-'Balance Sheet'!C34</f>
        <v>-115.52099999999999</v>
      </c>
      <c r="C2" s="55">
        <f>'Balance Sheet'!E13-'Balance Sheet'!E34</f>
        <v>-112.67576352662712</v>
      </c>
      <c r="D2" s="55">
        <f>'Balance Sheet'!F13-'Balance Sheet'!F34</f>
        <v>-62.770920179151119</v>
      </c>
      <c r="E2" s="55">
        <f>'Balance Sheet'!G13-'Balance Sheet'!G34</f>
        <v>-17.988039527177676</v>
      </c>
      <c r="F2" s="55">
        <f>'Balance Sheet'!H13-'Balance Sheet'!H34</f>
        <v>-18.169917916100388</v>
      </c>
      <c r="G2" s="55">
        <f>'Balance Sheet'!I13-'Balance Sheet'!I34</f>
        <v>-18.278584636633752</v>
      </c>
      <c r="H2" s="55">
        <f>'Balance Sheet'!J13-'Balance Sheet'!J34</f>
        <v>-19.29453136742336</v>
      </c>
      <c r="I2" s="55">
        <f>'Balance Sheet'!K13-'Balance Sheet'!K34</f>
        <v>-20.726687044890696</v>
      </c>
      <c r="J2" s="55">
        <f>'Balance Sheet'!L13-'Balance Sheet'!L34</f>
        <v>-23.050076930264026</v>
      </c>
      <c r="L2" s="12">
        <f>L4*(1+'Supporting Schedules'!B60)^8</f>
        <v>29080.554066255681</v>
      </c>
      <c r="M2" s="12">
        <f>M4*(1+'Supporting Schedules'!B60)^8</f>
        <v>48818.457178992401</v>
      </c>
      <c r="O2" s="45"/>
      <c r="P2" s="45"/>
      <c r="Q2" s="45"/>
      <c r="R2" s="45"/>
      <c r="S2" s="45"/>
      <c r="T2" s="45"/>
    </row>
    <row r="3" spans="1:20" x14ac:dyDescent="0.2">
      <c r="A3" s="54" t="s">
        <v>296</v>
      </c>
      <c r="B3" s="54"/>
      <c r="C3" s="55">
        <f>C2-B2</f>
        <v>2.8452364733728643</v>
      </c>
      <c r="D3" s="55">
        <f t="shared" ref="D3:J3" si="0">D2-C2</f>
        <v>49.904843347476003</v>
      </c>
      <c r="E3" s="55">
        <f t="shared" si="0"/>
        <v>44.782880651973443</v>
      </c>
      <c r="F3" s="55">
        <f t="shared" si="0"/>
        <v>-0.18187838892271202</v>
      </c>
      <c r="G3" s="55">
        <f t="shared" si="0"/>
        <v>-0.10866672053336401</v>
      </c>
      <c r="H3" s="55">
        <f t="shared" si="0"/>
        <v>-1.015946730789608</v>
      </c>
      <c r="I3" s="55">
        <f t="shared" si="0"/>
        <v>-1.4321556774673354</v>
      </c>
      <c r="J3" s="55">
        <f t="shared" si="0"/>
        <v>-2.3233898853733308</v>
      </c>
      <c r="L3" t="s">
        <v>387</v>
      </c>
      <c r="M3" t="s">
        <v>388</v>
      </c>
    </row>
    <row r="4" spans="1:20" x14ac:dyDescent="0.2">
      <c r="A4" t="s">
        <v>294</v>
      </c>
      <c r="C4" s="11">
        <f>'P&amp;L'!F43+'P&amp;L'!F16-C3</f>
        <v>228.5280002779117</v>
      </c>
      <c r="D4" s="11">
        <f>'P&amp;L'!G43+'P&amp;L'!G16-D3</f>
        <v>158.90509600592992</v>
      </c>
      <c r="E4" s="11">
        <f>'P&amp;L'!H43+'P&amp;L'!H16-E3</f>
        <v>157.66013325668382</v>
      </c>
      <c r="F4" s="11">
        <f>'P&amp;L'!I43+'P&amp;L'!I16-F3</f>
        <v>205.00603163173054</v>
      </c>
      <c r="G4" s="11">
        <f>'P&amp;L'!J43+'P&amp;L'!J16-G3</f>
        <v>206.35547718010841</v>
      </c>
      <c r="H4" s="11">
        <f>'P&amp;L'!K43+'P&amp;L'!K16-H3</f>
        <v>220.56346177881164</v>
      </c>
      <c r="I4" s="11">
        <f>'P&amp;L'!L43+'P&amp;L'!L16-I3</f>
        <v>239.72935416199647</v>
      </c>
      <c r="J4" s="11">
        <f>'P&amp;L'!M43+'P&amp;L'!M16-J3</f>
        <v>271.03824863946988</v>
      </c>
      <c r="L4" s="62">
        <f>(M25-(L7*1000000))/1000000</f>
        <v>9619.5647404958072</v>
      </c>
      <c r="M4" s="12">
        <f>(M25-(M7*1000000))/1000000</f>
        <v>16148.671318108261</v>
      </c>
    </row>
    <row r="5" spans="1:20" x14ac:dyDescent="0.2">
      <c r="A5" t="s">
        <v>379</v>
      </c>
      <c r="C5" s="11">
        <f t="shared" ref="C5:J5" si="1">C4*$L$10</f>
        <v>2949.5500710474416</v>
      </c>
      <c r="D5" s="11">
        <f t="shared" si="1"/>
        <v>2050.9457775157061</v>
      </c>
      <c r="E5" s="11">
        <f t="shared" si="1"/>
        <v>2034.8773746896861</v>
      </c>
      <c r="F5" s="11">
        <f t="shared" si="1"/>
        <v>2645.9582827013846</v>
      </c>
      <c r="G5" s="11">
        <f t="shared" si="1"/>
        <v>2663.375217205044</v>
      </c>
      <c r="H5" s="11">
        <f t="shared" si="1"/>
        <v>2846.7538926040456</v>
      </c>
      <c r="I5" s="11">
        <f t="shared" si="1"/>
        <v>3094.1229641040964</v>
      </c>
      <c r="J5" s="11">
        <f t="shared" si="1"/>
        <v>3498.2185314662825</v>
      </c>
    </row>
    <row r="6" spans="1:20" x14ac:dyDescent="0.2">
      <c r="A6" t="s">
        <v>380</v>
      </c>
      <c r="C6" s="11">
        <f t="shared" ref="C6:J6" si="2">C4*$M$10</f>
        <v>1934.3964813584787</v>
      </c>
      <c r="D6" s="11">
        <f t="shared" si="2"/>
        <v>1345.0669423877698</v>
      </c>
      <c r="E6" s="11">
        <f t="shared" si="2"/>
        <v>1334.5288395792063</v>
      </c>
      <c r="F6" s="11">
        <f t="shared" si="2"/>
        <v>1735.292593307719</v>
      </c>
      <c r="G6" s="11">
        <f t="shared" si="2"/>
        <v>1746.7151004726729</v>
      </c>
      <c r="H6" s="11">
        <f t="shared" si="2"/>
        <v>1866.9799055797232</v>
      </c>
      <c r="I6" s="11">
        <f t="shared" si="2"/>
        <v>2029.2113815609682</v>
      </c>
      <c r="J6" s="11">
        <f t="shared" si="2"/>
        <v>2294.2284264692385</v>
      </c>
      <c r="L6" t="s">
        <v>383</v>
      </c>
      <c r="M6" t="s">
        <v>384</v>
      </c>
    </row>
    <row r="7" spans="1:20" x14ac:dyDescent="0.2">
      <c r="L7" s="62">
        <f>SUM(C9:J9)</f>
        <v>18970.456259504193</v>
      </c>
      <c r="M7" s="62">
        <f>SUM(C10:J10)</f>
        <v>12441.349681891739</v>
      </c>
    </row>
    <row r="8" spans="1:20" x14ac:dyDescent="0.2">
      <c r="A8" t="s">
        <v>323</v>
      </c>
      <c r="C8" s="62">
        <f>C4/(1+'Supporting Schedules'!$B$60)</f>
        <v>199.01394674754803</v>
      </c>
      <c r="D8" s="62">
        <f>D4/(1+'Supporting Schedules'!$B$60)</f>
        <v>138.38273767757107</v>
      </c>
      <c r="E8" s="62">
        <f>E4/(1+'Supporting Schedules'!$B$60)</f>
        <v>137.29856002765578</v>
      </c>
      <c r="F8" s="62">
        <f>F4/(1+'Supporting Schedules'!$B$60)</f>
        <v>178.52980559260942</v>
      </c>
      <c r="G8" s="62">
        <f>G4/(1+'Supporting Schedules'!$B$60)</f>
        <v>179.70497224254726</v>
      </c>
      <c r="H8" s="62">
        <f>H4/(1+'Supporting Schedules'!$B$60)</f>
        <v>192.07801662607005</v>
      </c>
      <c r="I8" s="62">
        <f>I4/(1+'Supporting Schedules'!$B$60)</f>
        <v>208.76866233021946</v>
      </c>
      <c r="J8" s="62">
        <f>J4/(1+'Supporting Schedules'!$B$60)</f>
        <v>236.03405935240983</v>
      </c>
    </row>
    <row r="9" spans="1:20" x14ac:dyDescent="0.2">
      <c r="A9" t="s">
        <v>381</v>
      </c>
      <c r="C9" s="62">
        <f>C5/(1+'Supporting Schedules'!$B$60)</f>
        <v>2568.6200380470336</v>
      </c>
      <c r="D9" s="62">
        <f>D5/(1+'Supporting Schedules'!$B$60)</f>
        <v>1786.0691611192051</v>
      </c>
      <c r="E9" s="62">
        <f>E5/(1+'Supporting Schedules'!$B$60)</f>
        <v>1772.0759687732045</v>
      </c>
      <c r="F9" s="62">
        <f>F5/(1+'Supporting Schedules'!$B$60)</f>
        <v>2304.2366805353945</v>
      </c>
      <c r="G9" s="62">
        <f>G5/(1+'Supporting Schedules'!$B$60)</f>
        <v>2319.4042436856498</v>
      </c>
      <c r="H9" s="62">
        <f>H5/(1+'Supporting Schedules'!$B$60)</f>
        <v>2479.0998341433246</v>
      </c>
      <c r="I9" s="62">
        <f>I5/(1+'Supporting Schedules'!$B$60)</f>
        <v>2694.5215556069234</v>
      </c>
      <c r="J9" s="62">
        <f>J5/(1+'Supporting Schedules'!$B$60)</f>
        <v>3046.4287775934599</v>
      </c>
      <c r="L9" t="s">
        <v>378</v>
      </c>
      <c r="M9" t="s">
        <v>377</v>
      </c>
    </row>
    <row r="10" spans="1:20" x14ac:dyDescent="0.2">
      <c r="A10" t="s">
        <v>382</v>
      </c>
      <c r="C10" s="62">
        <f>C6/(1+'Supporting Schedules'!$B$60)</f>
        <v>1684.5720343308403</v>
      </c>
      <c r="D10" s="62">
        <f>D6/(1+'Supporting Schedules'!$B$60)</f>
        <v>1171.3535344409177</v>
      </c>
      <c r="E10" s="62">
        <f>E6/(1+'Supporting Schedules'!$B$60)</f>
        <v>1162.176412037478</v>
      </c>
      <c r="F10" s="62">
        <f>F6/(1+'Supporting Schedules'!$B$60)</f>
        <v>1511.1821191975675</v>
      </c>
      <c r="G10" s="62">
        <f>G6/(1+'Supporting Schedules'!$B$60)</f>
        <v>1521.1294264416915</v>
      </c>
      <c r="H10" s="62">
        <f>H6/(1+'Supporting Schedules'!$B$60)</f>
        <v>1625.8622096895747</v>
      </c>
      <c r="I10" s="62">
        <f>I6/(1+'Supporting Schedules'!$B$60)</f>
        <v>1767.1417302841819</v>
      </c>
      <c r="J10" s="62">
        <f>J6/(1+'Supporting Schedules'!$B$60)</f>
        <v>1997.932215469488</v>
      </c>
      <c r="L10" s="72">
        <f>M25/(K25*1000000)</f>
        <v>12.906733824566395</v>
      </c>
      <c r="M10" s="72">
        <f>M25/(L25*1000000)</f>
        <v>8.4645928682965295</v>
      </c>
    </row>
    <row r="11" spans="1:20" x14ac:dyDescent="0.2">
      <c r="C11" s="62"/>
      <c r="D11" s="62"/>
      <c r="E11" s="62"/>
      <c r="F11" s="62"/>
      <c r="G11" s="62"/>
      <c r="H11" s="62"/>
      <c r="I11" s="62"/>
      <c r="J11" s="62"/>
    </row>
    <row r="12" spans="1:20" x14ac:dyDescent="0.2">
      <c r="C12" s="62"/>
      <c r="D12" s="62"/>
      <c r="E12" s="62"/>
      <c r="F12" s="62"/>
      <c r="G12" s="62"/>
      <c r="H12" s="62"/>
      <c r="I12" s="62"/>
      <c r="J12" s="62"/>
    </row>
    <row r="13" spans="1:20" x14ac:dyDescent="0.2">
      <c r="C13" s="62"/>
      <c r="D13" s="62"/>
      <c r="E13" s="62"/>
      <c r="F13" s="62"/>
      <c r="G13" s="62"/>
      <c r="H13" s="62"/>
      <c r="I13" s="62"/>
      <c r="J13" s="62"/>
    </row>
    <row r="14" spans="1:20" x14ac:dyDescent="0.2">
      <c r="C14" s="62"/>
      <c r="D14" s="62"/>
      <c r="E14" s="62"/>
      <c r="F14" s="62"/>
      <c r="G14" s="62"/>
      <c r="H14" s="62"/>
      <c r="I14" s="62"/>
      <c r="J14" s="62"/>
    </row>
    <row r="15" spans="1:20" x14ac:dyDescent="0.2">
      <c r="A15" t="s">
        <v>9</v>
      </c>
      <c r="C15" t="s">
        <v>55</v>
      </c>
    </row>
    <row r="16" spans="1:20" x14ac:dyDescent="0.2">
      <c r="A16" t="s">
        <v>343</v>
      </c>
      <c r="C16" s="11">
        <f>'Balance Sheet'!E32</f>
        <v>206.14</v>
      </c>
      <c r="D16" s="11"/>
      <c r="J16" s="62"/>
      <c r="K16" t="s">
        <v>371</v>
      </c>
      <c r="L16" t="s">
        <v>372</v>
      </c>
    </row>
    <row r="17" spans="1:13" x14ac:dyDescent="0.2">
      <c r="A17" t="s">
        <v>148</v>
      </c>
      <c r="C17" s="11">
        <f>'Cash Flow Statement'!E56</f>
        <v>1118.1189999999999</v>
      </c>
      <c r="K17" s="12">
        <f>J4*(1+'Drivers &amp; Assumptons'!C48)/('Supporting Schedules'!B60-'Drivers &amp; Assumptons'!C48)</f>
        <v>2253.1303784156739</v>
      </c>
      <c r="L17" s="12">
        <f>'P&amp;L'!M51*'Drivers &amp; Assumptons'!C49</f>
        <v>5767.3721510975556</v>
      </c>
    </row>
    <row r="18" spans="1:13" x14ac:dyDescent="0.2">
      <c r="A18" t="s">
        <v>344</v>
      </c>
      <c r="C18" s="11">
        <f>C16-C17</f>
        <v>-911.97899999999993</v>
      </c>
      <c r="K18" t="s">
        <v>369</v>
      </c>
      <c r="L18" t="s">
        <v>369</v>
      </c>
    </row>
    <row r="19" spans="1:13" x14ac:dyDescent="0.2">
      <c r="K19" s="12">
        <f>K17/(1+'Supporting Schedules'!B60)^8</f>
        <v>745.31363792333968</v>
      </c>
      <c r="L19" s="12">
        <f>L17/(1+'Supporting Schedules'!B60)^8</f>
        <v>1907.7906722001765</v>
      </c>
    </row>
    <row r="21" spans="1:13" x14ac:dyDescent="0.2">
      <c r="K21" s="76" t="s">
        <v>370</v>
      </c>
      <c r="L21" s="76"/>
    </row>
    <row r="22" spans="1:13" x14ac:dyDescent="0.2">
      <c r="K22" s="77">
        <f>SUM(C8:J8)</f>
        <v>1469.8107605966311</v>
      </c>
      <c r="L22" s="77"/>
    </row>
    <row r="24" spans="1:13" x14ac:dyDescent="0.2">
      <c r="K24" t="s">
        <v>367</v>
      </c>
      <c r="L24" t="s">
        <v>367</v>
      </c>
      <c r="M24" t="s">
        <v>363</v>
      </c>
    </row>
    <row r="25" spans="1:13" x14ac:dyDescent="0.2">
      <c r="K25" s="62">
        <f>SUM(K22,K19)</f>
        <v>2215.1243985199708</v>
      </c>
      <c r="L25" s="62">
        <f>SUM(K22,L19)</f>
        <v>3377.6014327968078</v>
      </c>
      <c r="M25" s="62">
        <f>M28+(C18*1000000)</f>
        <v>28590021000</v>
      </c>
    </row>
    <row r="27" spans="1:13" x14ac:dyDescent="0.2">
      <c r="K27" t="s">
        <v>368</v>
      </c>
      <c r="L27" t="s">
        <v>368</v>
      </c>
      <c r="M27" t="s">
        <v>362</v>
      </c>
    </row>
    <row r="28" spans="1:13" x14ac:dyDescent="0.2">
      <c r="K28" s="62">
        <f>K25-(C18)</f>
        <v>3127.1033985199706</v>
      </c>
      <c r="L28" s="62">
        <f>L25-(C18)</f>
        <v>4289.5804327968081</v>
      </c>
      <c r="M28" s="58">
        <f>'Supporting Schedules'!B37</f>
        <v>29502000000</v>
      </c>
    </row>
    <row r="30" spans="1:13" x14ac:dyDescent="0.2">
      <c r="K30" s="8" t="s">
        <v>345</v>
      </c>
      <c r="L30" s="8" t="s">
        <v>345</v>
      </c>
      <c r="M30" t="s">
        <v>373</v>
      </c>
    </row>
    <row r="31" spans="1:13" x14ac:dyDescent="0.2">
      <c r="K31" s="74">
        <f>K28 * 1000000 /'Supporting Schedules'!$B$36</f>
        <v>14.214106356908957</v>
      </c>
      <c r="L31" s="74">
        <f>L28 * 1000000 /'Supporting Schedules'!$B$36</f>
        <v>19.49809287634913</v>
      </c>
      <c r="M31" s="74">
        <f>M28/'Supporting Schedules'!B36</f>
        <v>134.1</v>
      </c>
    </row>
    <row r="32" spans="1:13" x14ac:dyDescent="0.2">
      <c r="A32" s="8" t="s">
        <v>353</v>
      </c>
      <c r="B32" t="s">
        <v>354</v>
      </c>
      <c r="C32" t="s">
        <v>355</v>
      </c>
      <c r="D32" t="s">
        <v>356</v>
      </c>
      <c r="E32" t="s">
        <v>359</v>
      </c>
      <c r="F32" t="s">
        <v>358</v>
      </c>
    </row>
    <row r="33" spans="1:13" x14ac:dyDescent="0.2">
      <c r="A33" t="s">
        <v>346</v>
      </c>
      <c r="B33" s="34">
        <v>71.55</v>
      </c>
      <c r="C33" s="72">
        <v>2.2400000000000002</v>
      </c>
      <c r="D33" s="72">
        <v>10.029999999999999</v>
      </c>
      <c r="E33" s="72">
        <v>61</v>
      </c>
      <c r="F33" s="72">
        <v>20</v>
      </c>
      <c r="K33" t="s">
        <v>355</v>
      </c>
      <c r="L33" t="s">
        <v>355</v>
      </c>
      <c r="M33" t="s">
        <v>364</v>
      </c>
    </row>
    <row r="34" spans="1:13" x14ac:dyDescent="0.2">
      <c r="A34" t="s">
        <v>347</v>
      </c>
      <c r="B34">
        <v>54</v>
      </c>
      <c r="C34" s="72">
        <v>2.8</v>
      </c>
      <c r="D34" s="72">
        <v>20</v>
      </c>
      <c r="E34" s="72">
        <v>25</v>
      </c>
      <c r="F34" s="72">
        <v>18</v>
      </c>
      <c r="K34" s="72">
        <f>K25/'P&amp;L'!E2</f>
        <v>1.791228405200797</v>
      </c>
      <c r="L34" s="72">
        <f>L25/'P&amp;L'!E2</f>
        <v>2.7312486973259293</v>
      </c>
      <c r="M34" s="72">
        <f>M25/('P&amp;L'!E2*1000000)</f>
        <v>23.118908244929248</v>
      </c>
    </row>
    <row r="35" spans="1:13" x14ac:dyDescent="0.2">
      <c r="A35" t="s">
        <v>348</v>
      </c>
      <c r="B35">
        <v>56</v>
      </c>
      <c r="C35" s="72">
        <v>11</v>
      </c>
      <c r="D35" s="72">
        <v>21</v>
      </c>
      <c r="E35" s="72">
        <v>41</v>
      </c>
      <c r="F35" s="72">
        <v>30</v>
      </c>
    </row>
    <row r="36" spans="1:13" x14ac:dyDescent="0.2">
      <c r="A36" t="s">
        <v>349</v>
      </c>
      <c r="B36">
        <v>31</v>
      </c>
      <c r="C36" s="72">
        <v>14.4</v>
      </c>
      <c r="D36" s="72">
        <v>32</v>
      </c>
      <c r="E36" s="72">
        <v>9</v>
      </c>
      <c r="F36" s="72">
        <v>22</v>
      </c>
      <c r="K36" t="s">
        <v>356</v>
      </c>
      <c r="L36" t="s">
        <v>356</v>
      </c>
      <c r="M36" t="s">
        <v>365</v>
      </c>
    </row>
    <row r="37" spans="1:13" x14ac:dyDescent="0.2">
      <c r="A37" t="s">
        <v>350</v>
      </c>
      <c r="B37">
        <v>10</v>
      </c>
      <c r="C37" s="72">
        <v>6</v>
      </c>
      <c r="D37" s="72">
        <v>21</v>
      </c>
      <c r="E37" s="73" t="s">
        <v>145</v>
      </c>
      <c r="F37" s="72">
        <v>28</v>
      </c>
      <c r="K37" s="72">
        <f>K25/'P&amp;L'!$E$51</f>
        <v>8.9319532198385918</v>
      </c>
      <c r="L37" s="72">
        <f>L25/'P&amp;L'!$E$51</f>
        <v>13.619360616116161</v>
      </c>
      <c r="M37" s="72">
        <f>M25/('P&amp;L'!$E$51 * 1000000)</f>
        <v>115.28234274193548</v>
      </c>
    </row>
    <row r="38" spans="1:13" x14ac:dyDescent="0.2">
      <c r="A38" t="s">
        <v>351</v>
      </c>
      <c r="B38">
        <v>15</v>
      </c>
      <c r="C38" s="72">
        <v>6.5</v>
      </c>
      <c r="D38" s="73" t="s">
        <v>145</v>
      </c>
      <c r="E38" s="72">
        <v>40</v>
      </c>
      <c r="F38" s="72">
        <v>35</v>
      </c>
    </row>
    <row r="39" spans="1:13" x14ac:dyDescent="0.2">
      <c r="A39" t="s">
        <v>352</v>
      </c>
      <c r="B39">
        <v>78</v>
      </c>
      <c r="C39" s="72">
        <v>12</v>
      </c>
      <c r="D39" s="72">
        <v>20</v>
      </c>
      <c r="E39" s="72">
        <v>25</v>
      </c>
      <c r="F39" s="72">
        <v>22</v>
      </c>
      <c r="K39" t="s">
        <v>357</v>
      </c>
      <c r="L39" t="s">
        <v>357</v>
      </c>
      <c r="M39" t="s">
        <v>366</v>
      </c>
    </row>
    <row r="40" spans="1:13" x14ac:dyDescent="0.2">
      <c r="C40" s="72"/>
      <c r="D40" s="72"/>
      <c r="E40" s="72"/>
      <c r="F40" s="72"/>
      <c r="K40" s="72">
        <f>K25/$J$4</f>
        <v>8.1727372783702155</v>
      </c>
      <c r="L40" s="72">
        <f t="shared" ref="L40" si="3">L25/$J$4</f>
        <v>12.461715089111395</v>
      </c>
      <c r="M40" s="72">
        <f>M25/($J$4*1000000)</f>
        <v>105.48334467003558</v>
      </c>
    </row>
    <row r="41" spans="1:13" x14ac:dyDescent="0.2">
      <c r="A41" t="s">
        <v>360</v>
      </c>
      <c r="B41" s="34"/>
      <c r="C41" s="72">
        <f>AVERAGE(C33:C39)</f>
        <v>7.8485714285714279</v>
      </c>
      <c r="D41" s="72">
        <f>AVERAGE(D39,D33:D37)</f>
        <v>20.671666666666667</v>
      </c>
      <c r="E41" s="72">
        <f>AVERAGE(E39,E38,E33:E36)</f>
        <v>33.5</v>
      </c>
      <c r="F41" s="72">
        <f t="shared" ref="F41" si="4">AVERAGE(F33:F39)</f>
        <v>25</v>
      </c>
    </row>
    <row r="42" spans="1:13" x14ac:dyDescent="0.2">
      <c r="A42" t="s">
        <v>361</v>
      </c>
      <c r="C42" s="72">
        <f>MEDIAN(C33:C39)</f>
        <v>6.5</v>
      </c>
      <c r="D42" s="72">
        <f>MEDIAN(D39,D33:D37)</f>
        <v>20.5</v>
      </c>
      <c r="E42" s="72">
        <f>MEDIAN(E39,E38,E33:E36)</f>
        <v>32.5</v>
      </c>
      <c r="F42" s="72">
        <f t="shared" ref="F42" si="5">MEDIAN(F33:F39)</f>
        <v>22</v>
      </c>
      <c r="M42" t="s">
        <v>374</v>
      </c>
    </row>
    <row r="43" spans="1:13" x14ac:dyDescent="0.2">
      <c r="M43" s="62">
        <f>(M25/F41) / 1000000</f>
        <v>1143.6008400000001</v>
      </c>
    </row>
    <row r="45" spans="1:13" x14ac:dyDescent="0.2">
      <c r="M45" t="s">
        <v>375</v>
      </c>
    </row>
    <row r="46" spans="1:13" x14ac:dyDescent="0.2">
      <c r="M46" s="12">
        <f>(M25/E42) / 1000000</f>
        <v>879.69295384615384</v>
      </c>
    </row>
    <row r="48" spans="1:13" ht="34" x14ac:dyDescent="0.2">
      <c r="M48" s="3" t="s">
        <v>376</v>
      </c>
    </row>
    <row r="49" spans="13:13" x14ac:dyDescent="0.2">
      <c r="M49" s="72">
        <f>AVERAGE(M46,M43)/J4</f>
        <v>3.7324875806320277</v>
      </c>
    </row>
  </sheetData>
  <mergeCells count="2">
    <mergeCell ref="K21:L21"/>
    <mergeCell ref="K22:L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Drivers &amp; Assumptons</vt:lpstr>
      <vt:lpstr>Revenue Build</vt:lpstr>
      <vt:lpstr>Expense Build</vt:lpstr>
      <vt:lpstr>P&amp;L</vt:lpstr>
      <vt:lpstr>Balance Sheet</vt:lpstr>
      <vt:lpstr>Cash Flow Statement</vt:lpstr>
      <vt:lpstr>Supporting Schedules</vt:lpstr>
      <vt:lpstr>Scenarios</vt:lpstr>
      <vt:lpstr>Sensitivities</vt:lpstr>
      <vt:lpstr>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 Pakel</dc:creator>
  <cp:lastModifiedBy>Brando Pakel</cp:lastModifiedBy>
  <dcterms:created xsi:type="dcterms:W3CDTF">2025-08-13T05:14:02Z</dcterms:created>
  <dcterms:modified xsi:type="dcterms:W3CDTF">2025-08-20T21:23:17Z</dcterms:modified>
</cp:coreProperties>
</file>