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bp/Downloads/"/>
    </mc:Choice>
  </mc:AlternateContent>
  <xr:revisionPtr revIDLastSave="0" documentId="13_ncr:1_{C66755D2-A66D-A243-A8C9-54B4001E5EFF}" xr6:coauthVersionLast="47" xr6:coauthVersionMax="47" xr10:uidLastSave="{00000000-0000-0000-0000-000000000000}"/>
  <bookViews>
    <workbookView xWindow="0" yWindow="760" windowWidth="29040" windowHeight="15720" activeTab="2" xr2:uid="{E3D15AAA-CE64-634F-96BA-2AF8CAD2DB42}"/>
  </bookViews>
  <sheets>
    <sheet name="CrowdStrike Financials" sheetId="1" r:id="rId1"/>
    <sheet name="CrowdStrike WACC" sheetId="2" r:id="rId2"/>
    <sheet name="CrowdStrike DCF Analysis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3" l="1"/>
  <c r="B54" i="3"/>
  <c r="B51" i="3"/>
  <c r="B52" i="3"/>
  <c r="C20" i="3"/>
  <c r="M43" i="3"/>
  <c r="S4" i="1"/>
  <c r="M34" i="3"/>
  <c r="F37" i="3"/>
  <c r="I27" i="3"/>
  <c r="F18" i="3"/>
  <c r="G18" i="3" s="1"/>
  <c r="H18" i="3" s="1"/>
  <c r="I18" i="3" s="1"/>
  <c r="S10" i="1"/>
  <c r="F24" i="2" l="1"/>
  <c r="F23" i="2" s="1"/>
  <c r="H22" i="2"/>
  <c r="G22" i="2" s="1"/>
  <c r="C14" i="2"/>
  <c r="I16" i="2" s="1"/>
  <c r="C10" i="2"/>
  <c r="C9" i="2"/>
  <c r="C8" i="2"/>
  <c r="H16" i="2" s="1"/>
  <c r="J16" i="2" s="1"/>
  <c r="C20" i="2" s="1"/>
  <c r="C22" i="2" s="1"/>
  <c r="F22" i="2" s="1"/>
  <c r="J22" i="2" l="1"/>
  <c r="K22" i="2" s="1"/>
  <c r="F26" i="2"/>
  <c r="F27" i="2" s="1"/>
  <c r="C15" i="2"/>
  <c r="C24" i="2" l="1"/>
  <c r="M12" i="3" l="1"/>
  <c r="M6" i="3"/>
  <c r="F11" i="3"/>
  <c r="I29" i="3"/>
  <c r="F39" i="3" s="1"/>
  <c r="G42" i="1"/>
  <c r="G43" i="1" s="1"/>
  <c r="T9" i="1"/>
  <c r="U9" i="1" s="1"/>
  <c r="V9" i="1" s="1"/>
  <c r="W9" i="1" s="1"/>
  <c r="X9" i="1" s="1"/>
  <c r="Q9" i="1"/>
  <c r="R9" i="1"/>
  <c r="P9" i="1"/>
  <c r="D37" i="1"/>
  <c r="E37" i="1"/>
  <c r="C37" i="1"/>
  <c r="E35" i="1"/>
  <c r="D35" i="1"/>
  <c r="C35" i="1"/>
  <c r="G7" i="1"/>
  <c r="G23" i="1" s="1"/>
  <c r="G26" i="1" s="1"/>
  <c r="T5" i="1"/>
  <c r="U5" i="1" s="1"/>
  <c r="W5" i="1" s="1"/>
  <c r="S5" i="1"/>
  <c r="T6" i="1"/>
  <c r="S6" i="1"/>
  <c r="F13" i="1"/>
  <c r="F15" i="1"/>
  <c r="U6" i="1"/>
  <c r="W6" i="1" s="1"/>
  <c r="V6" i="1"/>
  <c r="X6" i="1"/>
  <c r="V5" i="1"/>
  <c r="X5" i="1"/>
  <c r="U4" i="1"/>
  <c r="V4" i="1"/>
  <c r="W4" i="1" s="1"/>
  <c r="X4" i="1" s="1"/>
  <c r="Q8" i="1"/>
  <c r="R8" i="1"/>
  <c r="Q7" i="1"/>
  <c r="R7" i="1"/>
  <c r="Q6" i="1"/>
  <c r="R6" i="1"/>
  <c r="P8" i="1"/>
  <c r="P7" i="1"/>
  <c r="P6" i="1"/>
  <c r="P5" i="1"/>
  <c r="Q5" i="1"/>
  <c r="R5" i="1"/>
  <c r="R4" i="1"/>
  <c r="Q4" i="1"/>
  <c r="R3" i="1"/>
  <c r="T3" i="1"/>
  <c r="U3" i="1"/>
  <c r="V3" i="1"/>
  <c r="W3" i="1"/>
  <c r="X3" i="1" s="1"/>
  <c r="Q3" i="1"/>
  <c r="G9" i="1" l="1"/>
  <c r="G10" i="1" s="1"/>
  <c r="G13" i="1"/>
  <c r="G14" i="1" s="1"/>
  <c r="H7" i="1"/>
  <c r="G8" i="1"/>
  <c r="G17" i="1"/>
  <c r="F22" i="3"/>
  <c r="G22" i="3"/>
  <c r="H22" i="3"/>
  <c r="I22" i="3"/>
  <c r="E22" i="3"/>
  <c r="H42" i="1"/>
  <c r="H13" i="1"/>
  <c r="H14" i="1" s="1"/>
  <c r="H8" i="1"/>
  <c r="G11" i="1"/>
  <c r="G18" i="1" l="1"/>
  <c r="G25" i="1"/>
  <c r="H17" i="1"/>
  <c r="H9" i="1"/>
  <c r="I7" i="1"/>
  <c r="J7" i="1" s="1"/>
  <c r="K7" i="1" s="1"/>
  <c r="I42" i="1"/>
  <c r="H43" i="1"/>
  <c r="I9" i="1"/>
  <c r="I10" i="1" s="1"/>
  <c r="I17" i="1"/>
  <c r="I13" i="1"/>
  <c r="I14" i="1" s="1"/>
  <c r="G12" i="1"/>
  <c r="G15" i="1"/>
  <c r="I8" i="1" l="1"/>
  <c r="I11" i="1"/>
  <c r="G16" i="1"/>
  <c r="T7" i="1" s="1"/>
  <c r="G21" i="1"/>
  <c r="G22" i="1" s="1"/>
  <c r="I18" i="1"/>
  <c r="I25" i="1"/>
  <c r="H10" i="1"/>
  <c r="H11" i="1"/>
  <c r="H18" i="1"/>
  <c r="H25" i="1"/>
  <c r="I43" i="1"/>
  <c r="J42" i="1"/>
  <c r="I15" i="1"/>
  <c r="I12" i="1"/>
  <c r="J9" i="1"/>
  <c r="J10" i="1" s="1"/>
  <c r="J17" i="1"/>
  <c r="J11" i="1"/>
  <c r="J8" i="1"/>
  <c r="J13" i="1"/>
  <c r="J14" i="1" s="1"/>
  <c r="G19" i="1"/>
  <c r="G20" i="1" s="1"/>
  <c r="T8" i="1" s="1"/>
  <c r="J18" i="1" l="1"/>
  <c r="J25" i="1"/>
  <c r="I21" i="1"/>
  <c r="I22" i="1"/>
  <c r="H15" i="1"/>
  <c r="H12" i="1"/>
  <c r="J43" i="1"/>
  <c r="K42" i="1"/>
  <c r="J15" i="1"/>
  <c r="J12" i="1"/>
  <c r="L7" i="1"/>
  <c r="K17" i="1"/>
  <c r="K8" i="1"/>
  <c r="K9" i="1"/>
  <c r="K10" i="1" s="1"/>
  <c r="K13" i="1"/>
  <c r="K14" i="1" s="1"/>
  <c r="I16" i="1"/>
  <c r="V7" i="1" s="1"/>
  <c r="I19" i="1"/>
  <c r="I20" i="1" s="1"/>
  <c r="V8" i="1" s="1"/>
  <c r="K18" i="1" l="1"/>
  <c r="K25" i="1"/>
  <c r="J21" i="1"/>
  <c r="J22" i="1" s="1"/>
  <c r="H21" i="1"/>
  <c r="H22" i="1" s="1"/>
  <c r="H16" i="1"/>
  <c r="U7" i="1" s="1"/>
  <c r="H19" i="1"/>
  <c r="H20" i="1" s="1"/>
  <c r="U8" i="1" s="1"/>
  <c r="K43" i="1"/>
  <c r="K11" i="1"/>
  <c r="J16" i="1"/>
  <c r="W7" i="1" s="1"/>
  <c r="J19" i="1"/>
  <c r="J20" i="1" s="1"/>
  <c r="W8" i="1" s="1"/>
  <c r="K15" i="1" l="1"/>
  <c r="K12" i="1"/>
  <c r="L11" i="1"/>
  <c r="K21" i="1" l="1"/>
  <c r="K22" i="1"/>
  <c r="K16" i="1"/>
  <c r="X7" i="1" s="1"/>
  <c r="K19" i="1"/>
  <c r="L15" i="1"/>
  <c r="F36" i="3" l="1"/>
  <c r="F38" i="3" s="1"/>
  <c r="F40" i="3" s="1"/>
  <c r="I26" i="3"/>
  <c r="I28" i="3" s="1"/>
  <c r="I30" i="3" s="1"/>
  <c r="M11" i="3"/>
  <c r="F5" i="3"/>
  <c r="F7" i="3" s="1"/>
  <c r="F12" i="3" s="1"/>
  <c r="K20" i="1"/>
  <c r="X8" i="1" s="1"/>
  <c r="L19" i="1"/>
  <c r="F19" i="1" l="1"/>
  <c r="F11" i="1"/>
  <c r="F7" i="1"/>
  <c r="D57" i="1"/>
  <c r="E57" i="1"/>
  <c r="C57" i="1"/>
  <c r="D58" i="1"/>
  <c r="E58" i="1"/>
  <c r="C58" i="1"/>
  <c r="D55" i="1"/>
  <c r="E55" i="1"/>
  <c r="C55" i="1"/>
  <c r="D49" i="1"/>
  <c r="E49" i="1"/>
  <c r="C49" i="1"/>
  <c r="D50" i="1"/>
  <c r="E50" i="1"/>
  <c r="C50" i="1"/>
  <c r="C60" i="1" s="1"/>
  <c r="D45" i="1"/>
  <c r="E45" i="1"/>
  <c r="G45" i="1" s="1"/>
  <c r="C45" i="1"/>
  <c r="D24" i="1"/>
  <c r="Q10" i="1" s="1"/>
  <c r="E24" i="1"/>
  <c r="R10" i="1" s="1"/>
  <c r="C24" i="1"/>
  <c r="P10" i="1" s="1"/>
  <c r="D19" i="1"/>
  <c r="D20" i="1" s="1"/>
  <c r="E19" i="1"/>
  <c r="C19" i="1"/>
  <c r="C20" i="1" s="1"/>
  <c r="E20" i="1"/>
  <c r="D16" i="1"/>
  <c r="E16" i="1"/>
  <c r="C16" i="1"/>
  <c r="D18" i="1"/>
  <c r="E18" i="1"/>
  <c r="C18" i="1"/>
  <c r="D8" i="1"/>
  <c r="E8" i="1"/>
  <c r="D14" i="1"/>
  <c r="E14" i="1"/>
  <c r="C14" i="1"/>
  <c r="C11" i="1"/>
  <c r="C15" i="1" s="1"/>
  <c r="D10" i="1"/>
  <c r="E10" i="1"/>
  <c r="C10" i="1"/>
  <c r="D11" i="1"/>
  <c r="D15" i="1" s="1"/>
  <c r="E11" i="1"/>
  <c r="E15" i="1" s="1"/>
  <c r="H48" i="1" l="1"/>
  <c r="H49" i="1" s="1"/>
  <c r="J48" i="1"/>
  <c r="J49" i="1" s="1"/>
  <c r="I48" i="1"/>
  <c r="I49" i="1" s="1"/>
  <c r="K48" i="1"/>
  <c r="K49" i="1" s="1"/>
  <c r="G48" i="1"/>
  <c r="G49" i="1" s="1"/>
  <c r="I54" i="1"/>
  <c r="K54" i="1"/>
  <c r="G54" i="1"/>
  <c r="G55" i="1"/>
  <c r="H55" i="1" s="1"/>
  <c r="I55" i="1" s="1"/>
  <c r="J55" i="1" s="1"/>
  <c r="K55" i="1" s="1"/>
  <c r="H54" i="1"/>
  <c r="J54" i="1"/>
  <c r="H56" i="1"/>
  <c r="H57" i="1" s="1"/>
  <c r="G56" i="1"/>
  <c r="G57" i="1" s="1"/>
  <c r="I56" i="1"/>
  <c r="I57" i="1" s="1"/>
  <c r="J56" i="1"/>
  <c r="J57" i="1" s="1"/>
  <c r="K56" i="1"/>
  <c r="K57" i="1" s="1"/>
  <c r="H23" i="1"/>
  <c r="I23" i="1"/>
  <c r="G24" i="1"/>
  <c r="J23" i="1"/>
  <c r="K23" i="1"/>
  <c r="D60" i="1"/>
  <c r="E63" i="1" s="1"/>
  <c r="E60" i="1"/>
  <c r="G44" i="1"/>
  <c r="G50" i="1" s="1"/>
  <c r="H45" i="1"/>
  <c r="I45" i="1"/>
  <c r="C61" i="1"/>
  <c r="C12" i="1"/>
  <c r="E12" i="1"/>
  <c r="D12" i="1"/>
  <c r="J24" i="1" l="1"/>
  <c r="J26" i="1"/>
  <c r="I24" i="1"/>
  <c r="I26" i="1"/>
  <c r="K24" i="1"/>
  <c r="K26" i="1"/>
  <c r="H24" i="1"/>
  <c r="H26" i="1"/>
  <c r="K58" i="1"/>
  <c r="D61" i="1"/>
  <c r="J58" i="1"/>
  <c r="G58" i="1"/>
  <c r="G60" i="1" s="1"/>
  <c r="D63" i="1"/>
  <c r="E61" i="1"/>
  <c r="H58" i="1"/>
  <c r="I58" i="1"/>
  <c r="K45" i="1"/>
  <c r="K44" i="1" s="1"/>
  <c r="K50" i="1" s="1"/>
  <c r="K60" i="1" s="1"/>
  <c r="K61" i="1" s="1"/>
  <c r="I44" i="1"/>
  <c r="I50" i="1" s="1"/>
  <c r="I60" i="1" s="1"/>
  <c r="J45" i="1"/>
  <c r="J44" i="1" s="1"/>
  <c r="J50" i="1" s="1"/>
  <c r="J60" i="1" s="1"/>
  <c r="H44" i="1"/>
  <c r="H50" i="1" s="1"/>
  <c r="H60" i="1" s="1"/>
  <c r="I63" i="1" s="1"/>
  <c r="I27" i="1" s="1"/>
  <c r="J61" i="1" l="1"/>
  <c r="K63" i="1"/>
  <c r="K27" i="1" s="1"/>
  <c r="H63" i="1"/>
  <c r="H27" i="1" s="1"/>
  <c r="K28" i="1"/>
  <c r="J63" i="1"/>
  <c r="J27" i="1" s="1"/>
  <c r="H28" i="1"/>
  <c r="F19" i="3" s="1"/>
  <c r="F23" i="3" s="1"/>
  <c r="I28" i="1"/>
  <c r="G19" i="3" s="1"/>
  <c r="G23" i="3" s="1"/>
  <c r="J28" i="1"/>
  <c r="H19" i="3" s="1"/>
  <c r="H23" i="3" s="1"/>
  <c r="G61" i="1"/>
  <c r="G63" i="1"/>
  <c r="G27" i="1" s="1"/>
  <c r="G28" i="1" s="1"/>
  <c r="E19" i="3" s="1"/>
  <c r="E23" i="3" s="1"/>
  <c r="I61" i="1"/>
  <c r="H61" i="1"/>
  <c r="F10" i="3" l="1"/>
  <c r="F14" i="3" s="1"/>
  <c r="I19" i="3"/>
  <c r="I23" i="3" s="1"/>
  <c r="F33" i="3" s="1"/>
  <c r="M5" i="3"/>
  <c r="M8" i="3" s="1"/>
  <c r="M10" i="3" s="1"/>
  <c r="M14" i="3" s="1"/>
  <c r="B50" i="3" l="1"/>
  <c r="F43" i="3"/>
  <c r="M33" i="3" l="1"/>
  <c r="M39" i="3" s="1"/>
  <c r="M42" i="3"/>
  <c r="M45" i="3" s="1"/>
  <c r="F4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tc={9C55AC22-23F1-487E-A4D9-937DB6994876}</author>
  </authors>
  <commentList>
    <comment ref="A21" authorId="0" shapeId="0" xr:uid="{9C55AC22-23F1-487E-A4D9-937DB6994876}">
      <text>
        <t>[Threaded comment]
Your version of Excel allows you to read this threaded comment; however, any edits to it will get removed if the file is opened in a newer version of Excel. Learn more: https://go.microsoft.com/fwlink/?linkid=870924
Comment:
    22.5% projected tax rate sourced from CrowdStrike announcement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tc={0946EE48-331E-4B05-8EDC-E13E60074844}</author>
    <author>tc={DFFB057A-CEC4-475C-9858-0122E167D78A}</author>
    <author>tc={CADDDDAA-15F3-4CC0-81C3-E69A389D8F1F}</author>
    <author>tc={0A2CE805-9959-485C-B44A-62DB49E44B1D}</author>
    <author>tc={73954859-DB29-4605-9832-D2F4A2C10771}</author>
    <author>tc={507D381A-B7A2-4F70-8FE1-1A8692721301}</author>
    <author>tc={9E209BBF-A5D9-40F2-A6A8-B0D745C87660}</author>
    <author>tc={17EED8D6-7A6E-4FDB-BBEF-9BAE53B47EDB}</author>
  </authors>
  <commentList>
    <comment ref="C6" authorId="0" shapeId="0" xr:uid="{0946EE48-331E-4B05-8EDC-E13E60074844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Sourced from Finbox: Total current debt for CrowdStrike</t>
      </text>
    </comment>
    <comment ref="C7" authorId="1" shapeId="0" xr:uid="{DFFB057A-CEC4-475C-9858-0122E167D78A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Sourced from Finbox: Total Current Equity for CrowdStrike</t>
      </text>
    </comment>
    <comment ref="C13" authorId="2" shapeId="0" xr:uid="{CADDDDAA-15F3-4CC0-81C3-E69A389D8F1F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Sourced from Finbox: Pre-tax cost of debt CrowdStrike</t>
      </text>
    </comment>
    <comment ref="C14" authorId="3" shapeId="0" xr:uid="{0A2CE805-9959-485C-B44A-62DB49E44B1D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Sourced from CrowdStrike announcement. Projected effective tax-rate</t>
      </text>
    </comment>
    <comment ref="G16" authorId="4" shapeId="0" xr:uid="{73954859-DB29-4605-9832-D2F4A2C10771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Sourced from Finbox: CrowdStrike beta (5 year)</t>
      </text>
    </comment>
    <comment ref="C18" authorId="5" shapeId="0" xr:uid="{507D381A-B7A2-4F70-8FE1-1A8692721301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10-year Treasury Yield</t>
      </text>
    </comment>
    <comment ref="C19" authorId="6" shapeId="0" xr:uid="{9E209BBF-A5D9-40F2-A6A8-B0D745C87660}">
      <text>
        <t>[Threaded comment]
Your version of Excel allows you to read this threaded comment; however, any edits to it will get removed if the file is opened in a newer version of Excel. Learn more: https://go.microsoft.com/fwlink/?linkid=870924
Comment:
    Duff &amp; Phelps recommended US Equity Risk Premium</t>
      </text>
    </comment>
    <comment ref="C21" authorId="7" shapeId="0" xr:uid="{17EED8D6-7A6E-4FDB-BBEF-9BAE53B47EDB}">
      <text>
        <t>[Threaded comment]
Your version of Excel allows you to read this threaded comment; however, any edits to it will get removed if the file is opened in a newer version of Excel. Learn more: https://go.microsoft.com/fwlink/?linkid=870924
Comment:
    Personal assumption, textbook 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tc={EEBB1174-66A0-4BF1-9299-72932C7CF3F9}</author>
    <author>tc={E3C7D530-25E3-46A3-A60E-49B8E923A0A7}</author>
    <author>tc={72F784D0-D7A1-40DB-89D1-10EAC4320535}</author>
    <author>tc={0B3100D5-AF84-4DB2-BEC8-B8B2B9BEF69D}</author>
    <author>tc={55F8284E-9D3F-43B7-ACAC-C8CFD2C85E17}</author>
    <author>tc={82B87087-C13C-466E-8CC4-FDE3AFD37823}</author>
    <author>tc={09EF3343-8325-427B-8B38-3B56B9E4D93A}</author>
  </authors>
  <commentList>
    <comment ref="F6" authorId="0" shapeId="0" xr:uid="{EEBB1174-66A0-4BF1-9299-72932C7CF3F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Sourced from Finbox: CrowdStrike Predicted EV/EBITDA Exit Multiple (FY+5)</t>
      </text>
    </comment>
    <comment ref="M7" authorId="1" shapeId="0" xr:uid="{E3C7D530-25E3-46A3-A60E-49B8E923A0A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Assumption</t>
      </text>
    </comment>
    <comment ref="F14" authorId="2" shapeId="0" xr:uid="{72F784D0-D7A1-40DB-89D1-10EAC4320535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Utilized 0.5 for mid-year convention in formula</t>
      </text>
    </comment>
    <comment ref="M14" authorId="3" shapeId="0" xr:uid="{0B3100D5-AF84-4DB2-BEC8-B8B2B9BEF69D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Utilizing 0.5 mid-year convention in formula</t>
      </text>
    </comment>
    <comment ref="I29" authorId="4" shapeId="0" xr:uid="{55F8284E-9D3F-43B7-ACAC-C8CFD2C85E17}">
      <text>
        <t>[Threaded comment]
Your version of Excel allows you to read this threaded comment; however, any edits to it will get removed if the file is opened in a newer version of Excel. Learn more: https://go.microsoft.com/fwlink/?linkid=870924
Comment:
    Mid-year convention not used for EMM</t>
      </text>
    </comment>
    <comment ref="M36" authorId="5" shapeId="0" xr:uid="{82B87087-C13C-466E-8CC4-FDE3AFD37823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Sourced from Finbox: CrowdStrike minority interest 2024</t>
      </text>
    </comment>
    <comment ref="M37" authorId="6" shapeId="0" xr:uid="{09EF3343-8325-427B-8B38-3B56B9E4D93A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Sourced from Finbox: CrowdStrike Cash and Equivalents 2024</t>
      </text>
    </comment>
  </commentList>
</comments>
</file>

<file path=xl/sharedStrings.xml><?xml version="1.0" encoding="utf-8"?>
<sst xmlns="http://schemas.openxmlformats.org/spreadsheetml/2006/main" count="167" uniqueCount="116">
  <si>
    <t>CrowdStrike Holdings, Inc.</t>
  </si>
  <si>
    <r>
      <t>Summary Historial Operating and Balance Sheet Data (</t>
    </r>
    <r>
      <rPr>
        <i/>
        <sz val="12"/>
        <color theme="1"/>
        <rFont val="Aptos Narrow"/>
        <family val="2"/>
        <scheme val="minor"/>
      </rPr>
      <t>in millions</t>
    </r>
    <r>
      <rPr>
        <sz val="12"/>
        <color theme="1"/>
        <rFont val="Aptos Narrow"/>
        <family val="2"/>
        <scheme val="minor"/>
      </rPr>
      <t>)</t>
    </r>
  </si>
  <si>
    <t>Historical Period</t>
  </si>
  <si>
    <t>CAGR</t>
  </si>
  <si>
    <t>Projection Period</t>
  </si>
  <si>
    <t>Drivers</t>
  </si>
  <si>
    <t>Selected Growth Rate</t>
  </si>
  <si>
    <t>('22-'24)</t>
  </si>
  <si>
    <t>('25-'29)</t>
  </si>
  <si>
    <t>Revenue Growth</t>
  </si>
  <si>
    <t>Gross Margin</t>
  </si>
  <si>
    <t>Operating Data</t>
  </si>
  <si>
    <t>Operating Expenses % of Sales</t>
  </si>
  <si>
    <t>Sales</t>
  </si>
  <si>
    <t>EBIT Margin</t>
  </si>
  <si>
    <t>% growth</t>
  </si>
  <si>
    <t>EBITDA Margin</t>
  </si>
  <si>
    <t>COGS (including D&amp;A expense)</t>
  </si>
  <si>
    <t>Effective Tax Rate</t>
  </si>
  <si>
    <t>% sales</t>
  </si>
  <si>
    <t>Capex % of Sales</t>
  </si>
  <si>
    <t>Gross Profit</t>
  </si>
  <si>
    <t>% margin</t>
  </si>
  <si>
    <t>Operating Expenses</t>
  </si>
  <si>
    <t>EBIT</t>
  </si>
  <si>
    <t>Depreciation and Amortization</t>
  </si>
  <si>
    <t>EBITDA</t>
  </si>
  <si>
    <t>Taxes @ 22.5%</t>
  </si>
  <si>
    <t>EBIAT</t>
  </si>
  <si>
    <t>Capex</t>
  </si>
  <si>
    <t>Plus: D&amp;A</t>
  </si>
  <si>
    <t>Less: Capex</t>
  </si>
  <si>
    <t>Less: Inc/(Dec.) in NWC</t>
  </si>
  <si>
    <t>Unlevered Free Cash Flow</t>
  </si>
  <si>
    <t>Interest Expense</t>
  </si>
  <si>
    <t>Non Operating Income/(Expense)</t>
  </si>
  <si>
    <t>Non Operating Interest Income</t>
  </si>
  <si>
    <t>-</t>
  </si>
  <si>
    <t>Pretax Income</t>
  </si>
  <si>
    <t>Income Tax</t>
  </si>
  <si>
    <t>Net Income</t>
  </si>
  <si>
    <t>Balance Sheet Data</t>
  </si>
  <si>
    <t>Current Assets</t>
  </si>
  <si>
    <t>Cash &amp; Short Term Investments</t>
  </si>
  <si>
    <t>Accounts Receivable</t>
  </si>
  <si>
    <t>DSO</t>
  </si>
  <si>
    <t>Inventory</t>
  </si>
  <si>
    <t>DIH</t>
  </si>
  <si>
    <t>Other Current Assets</t>
  </si>
  <si>
    <t>Total Current Assets</t>
  </si>
  <si>
    <t>Current Liabilities</t>
  </si>
  <si>
    <t>Accounts Payable</t>
  </si>
  <si>
    <t>DPO</t>
  </si>
  <si>
    <t>Other Current Liabilities</t>
  </si>
  <si>
    <t>Total Current Liabilities</t>
  </si>
  <si>
    <t>Net Working Capital</t>
  </si>
  <si>
    <t>(Increase)/Decrease in NWC</t>
  </si>
  <si>
    <r>
      <t xml:space="preserve">Weighted Average Cost of Capital Analysis </t>
    </r>
    <r>
      <rPr>
        <i/>
        <sz val="12"/>
        <color theme="1"/>
        <rFont val="Aptos Narrow"/>
        <family val="2"/>
        <scheme val="minor"/>
      </rPr>
      <t>(in millions)</t>
    </r>
  </si>
  <si>
    <t>WACC Calculation</t>
  </si>
  <si>
    <t>Target Capital Structure</t>
  </si>
  <si>
    <t>Total Debt</t>
  </si>
  <si>
    <t>Total Equity</t>
  </si>
  <si>
    <t>Debt/Equity</t>
  </si>
  <si>
    <t>Debt-to-Total Capitalization</t>
  </si>
  <si>
    <t>Equity-to-Total Capitalization</t>
  </si>
  <si>
    <t>Cost of Debt</t>
  </si>
  <si>
    <t>Cost-of-Debt</t>
  </si>
  <si>
    <t>Tax Rate</t>
  </si>
  <si>
    <t>CrowdStrike Relevered Beta</t>
  </si>
  <si>
    <t>After-tax Cost of Debt</t>
  </si>
  <si>
    <t>Mean Unlevered Beta</t>
  </si>
  <si>
    <t>Target Debt/Equity</t>
  </si>
  <si>
    <t>Marginal Tax Rate</t>
  </si>
  <si>
    <t>Relevered Beta</t>
  </si>
  <si>
    <t>Cost of Equity</t>
  </si>
  <si>
    <t>Risk-free Rate</t>
  </si>
  <si>
    <t>Market Risk Premium</t>
  </si>
  <si>
    <t>Levered Beta</t>
  </si>
  <si>
    <t>WACC Sensitivity Analysis</t>
  </si>
  <si>
    <t>Size Premium</t>
  </si>
  <si>
    <t>Pre-Tax Cost of Debt</t>
  </si>
  <si>
    <t>WACC</t>
  </si>
  <si>
    <r>
      <t xml:space="preserve">Discounted Cash Flow Analysis </t>
    </r>
    <r>
      <rPr>
        <i/>
        <sz val="12"/>
        <color theme="1"/>
        <rFont val="Aptos Narrow"/>
        <family val="2"/>
        <scheme val="minor"/>
      </rPr>
      <t>(in millions, fiscal year ending January 31)</t>
    </r>
  </si>
  <si>
    <t>Calculation of Terminal Value using EMM</t>
  </si>
  <si>
    <t>Calculation of Terminal Value using PGM</t>
  </si>
  <si>
    <t>Terminal Year EBITDA (2029E)</t>
  </si>
  <si>
    <t>Terminal Year FCF (2029E)</t>
  </si>
  <si>
    <t>Exit Multiple</t>
  </si>
  <si>
    <t>19.0x</t>
  </si>
  <si>
    <t>Terminal Value</t>
  </si>
  <si>
    <t>Perpetuity Growth Rate</t>
  </si>
  <si>
    <t>Implied Perpetuity Growth Rate</t>
  </si>
  <si>
    <t>Implied Exit Multiple</t>
  </si>
  <si>
    <t>Discount Rate</t>
  </si>
  <si>
    <t>Present Value Calulation</t>
  </si>
  <si>
    <t>Discount Period</t>
  </si>
  <si>
    <t>Discount Factor</t>
  </si>
  <si>
    <t>PV of FCF</t>
  </si>
  <si>
    <t>PV of Terminal Value</t>
  </si>
  <si>
    <t>Enterprise Value</t>
  </si>
  <si>
    <t>Implied Equity Value and Share Price</t>
  </si>
  <si>
    <t>Sum of projected PV of FCF</t>
  </si>
  <si>
    <t>Less: Total Debt</t>
  </si>
  <si>
    <t>Less: Preferred Stock</t>
  </si>
  <si>
    <t>Less: Noncontrolling Interest</t>
  </si>
  <si>
    <t>Plus: Cash and Cash Equivalents</t>
  </si>
  <si>
    <t>Implied Equity Value</t>
  </si>
  <si>
    <t>Present Value of Terminal Value</t>
  </si>
  <si>
    <t>% of Enterprise Value</t>
  </si>
  <si>
    <t>Implied EV/EBITDA</t>
  </si>
  <si>
    <t>EBITDA 2025E</t>
  </si>
  <si>
    <t>9.0x</t>
  </si>
  <si>
    <t>14.0x</t>
  </si>
  <si>
    <t>24.0x</t>
  </si>
  <si>
    <t>29.0x</t>
  </si>
  <si>
    <t>28x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</si>
</sst>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\(0.00\)"/>
    <numFmt numFmtId="165" formatCode="#.##\x"/>
    <numFmt numFmtId="166" formatCode="#,###.##\x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indexed="64"/>
      </right>
      <top style="thin">
        <color indexed="64"/>
      </top>
      <bottom/>
      <diagonal/>
    </border>
    <border>
      <left/>
      <right style="dotted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4" fillId="0" borderId="0" xfId="0" applyFont="1"/>
    <xf numFmtId="0" fontId="5" fillId="0" borderId="0" xfId="0" applyFont="1"/>
    <xf numFmtId="10" fontId="0" fillId="0" borderId="0" xfId="0" applyNumberFormat="1"/>
    <xf numFmtId="39" fontId="0" fillId="0" borderId="2" xfId="0" applyNumberFormat="1" applyBorder="1"/>
    <xf numFmtId="10" fontId="4" fillId="0" borderId="0" xfId="0" applyNumberFormat="1" applyFont="1"/>
    <xf numFmtId="39" fontId="5" fillId="0" borderId="2" xfId="0" applyNumberFormat="1" applyFont="1" applyBorder="1"/>
    <xf numFmtId="39" fontId="0" fillId="0" borderId="0" xfId="0" applyNumberFormat="1"/>
    <xf numFmtId="0" fontId="0" fillId="0" borderId="2" xfId="0" applyBorder="1"/>
    <xf numFmtId="0" fontId="6" fillId="0" borderId="0" xfId="0" applyFont="1"/>
    <xf numFmtId="164" fontId="4" fillId="0" borderId="0" xfId="0" applyNumberFormat="1" applyFont="1"/>
    <xf numFmtId="3" fontId="0" fillId="0" borderId="0" xfId="0" applyNumberFormat="1"/>
    <xf numFmtId="3" fontId="5" fillId="0" borderId="2" xfId="0" applyNumberFormat="1" applyFont="1" applyBorder="1"/>
    <xf numFmtId="39" fontId="0" fillId="0" borderId="5" xfId="0" applyNumberFormat="1" applyBorder="1"/>
    <xf numFmtId="10" fontId="4" fillId="0" borderId="6" xfId="0" applyNumberFormat="1" applyFont="1" applyBorder="1"/>
    <xf numFmtId="39" fontId="0" fillId="0" borderId="7" xfId="0" applyNumberFormat="1" applyBorder="1"/>
    <xf numFmtId="39" fontId="5" fillId="0" borderId="7" xfId="0" applyNumberFormat="1" applyFont="1" applyBorder="1"/>
    <xf numFmtId="0" fontId="0" fillId="0" borderId="0" xfId="0" applyAlignment="1">
      <alignment horizontal="left"/>
    </xf>
    <xf numFmtId="0" fontId="5" fillId="0" borderId="4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0" fontId="4" fillId="0" borderId="10" xfId="0" applyNumberFormat="1" applyFont="1" applyBorder="1"/>
    <xf numFmtId="10" fontId="4" fillId="0" borderId="0" xfId="1" applyNumberFormat="1" applyFont="1"/>
    <xf numFmtId="0" fontId="4" fillId="0" borderId="0" xfId="0" applyFont="1" applyAlignment="1">
      <alignment horizontal="right"/>
    </xf>
    <xf numFmtId="0" fontId="4" fillId="0" borderId="11" xfId="0" applyFont="1" applyBorder="1"/>
    <xf numFmtId="10" fontId="0" fillId="0" borderId="5" xfId="0" applyNumberFormat="1" applyBorder="1"/>
    <xf numFmtId="10" fontId="4" fillId="0" borderId="5" xfId="0" applyNumberFormat="1" applyFont="1" applyBorder="1"/>
    <xf numFmtId="10" fontId="4" fillId="0" borderId="11" xfId="0" applyNumberFormat="1" applyFont="1" applyBorder="1"/>
    <xf numFmtId="10" fontId="0" fillId="0" borderId="12" xfId="0" applyNumberFormat="1" applyBorder="1"/>
    <xf numFmtId="0" fontId="0" fillId="0" borderId="6" xfId="0" applyBorder="1"/>
    <xf numFmtId="9" fontId="4" fillId="0" borderId="6" xfId="1" applyFont="1" applyBorder="1"/>
    <xf numFmtId="0" fontId="0" fillId="0" borderId="15" xfId="0" applyBorder="1"/>
    <xf numFmtId="164" fontId="0" fillId="0" borderId="2" xfId="0" applyNumberFormat="1" applyBorder="1"/>
    <xf numFmtId="0" fontId="0" fillId="0" borderId="16" xfId="0" applyBorder="1"/>
    <xf numFmtId="39" fontId="0" fillId="0" borderId="17" xfId="0" applyNumberFormat="1" applyBorder="1"/>
    <xf numFmtId="0" fontId="4" fillId="0" borderId="8" xfId="0" applyFont="1" applyBorder="1"/>
    <xf numFmtId="10" fontId="0" fillId="0" borderId="4" xfId="0" applyNumberFormat="1" applyBorder="1"/>
    <xf numFmtId="10" fontId="4" fillId="0" borderId="4" xfId="0" applyNumberFormat="1" applyFont="1" applyBorder="1"/>
    <xf numFmtId="0" fontId="0" fillId="0" borderId="18" xfId="0" applyBorder="1"/>
    <xf numFmtId="10" fontId="0" fillId="0" borderId="9" xfId="0" applyNumberFormat="1" applyBorder="1"/>
    <xf numFmtId="0" fontId="5" fillId="3" borderId="0" xfId="0" applyFont="1" applyFill="1"/>
    <xf numFmtId="37" fontId="5" fillId="3" borderId="0" xfId="0" applyNumberFormat="1" applyFont="1" applyFill="1"/>
    <xf numFmtId="0" fontId="5" fillId="3" borderId="6" xfId="0" applyFont="1" applyFill="1" applyBorder="1"/>
    <xf numFmtId="39" fontId="5" fillId="3" borderId="0" xfId="0" applyNumberFormat="1" applyFont="1" applyFill="1"/>
    <xf numFmtId="39" fontId="4" fillId="0" borderId="0" xfId="0" applyNumberFormat="1" applyFont="1"/>
    <xf numFmtId="39" fontId="7" fillId="0" borderId="0" xfId="0" applyNumberFormat="1" applyFont="1"/>
    <xf numFmtId="0" fontId="5" fillId="4" borderId="0" xfId="0" applyFont="1" applyFill="1"/>
    <xf numFmtId="0" fontId="5" fillId="4" borderId="6" xfId="0" applyFont="1" applyFill="1" applyBorder="1"/>
    <xf numFmtId="39" fontId="5" fillId="4" borderId="0" xfId="0" applyNumberFormat="1" applyFont="1" applyFill="1"/>
    <xf numFmtId="0" fontId="5" fillId="0" borderId="0" xfId="0" applyFont="1" applyAlignment="1">
      <alignment horizontal="left" inden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top" wrapText="1"/>
    </xf>
    <xf numFmtId="39" fontId="3" fillId="2" borderId="1" xfId="0" applyNumberFormat="1" applyFont="1" applyFill="1" applyBorder="1"/>
    <xf numFmtId="10" fontId="8" fillId="2" borderId="1" xfId="0" applyNumberFormat="1" applyFont="1" applyFill="1" applyBorder="1"/>
    <xf numFmtId="10" fontId="0" fillId="0" borderId="19" xfId="0" applyNumberFormat="1" applyBorder="1"/>
    <xf numFmtId="4" fontId="0" fillId="0" borderId="0" xfId="0" applyNumberFormat="1"/>
    <xf numFmtId="39" fontId="0" fillId="0" borderId="0" xfId="0" applyNumberFormat="1" applyAlignment="1">
      <alignment horizontal="right"/>
    </xf>
    <xf numFmtId="4" fontId="5" fillId="0" borderId="0" xfId="0" applyNumberFormat="1" applyFont="1"/>
    <xf numFmtId="4" fontId="5" fillId="0" borderId="2" xfId="0" applyNumberFormat="1" applyFont="1" applyBorder="1"/>
    <xf numFmtId="0" fontId="0" fillId="0" borderId="0" xfId="0" applyAlignment="1">
      <alignment horizontal="left" indent="1"/>
    </xf>
    <xf numFmtId="165" fontId="0" fillId="0" borderId="0" xfId="0" applyNumberFormat="1" applyAlignment="1">
      <alignment horizontal="right"/>
    </xf>
    <xf numFmtId="39" fontId="5" fillId="0" borderId="0" xfId="0" applyNumberFormat="1" applyFont="1"/>
    <xf numFmtId="166" fontId="8" fillId="2" borderId="1" xfId="0" applyNumberFormat="1" applyFont="1" applyFill="1" applyBorder="1"/>
    <xf numFmtId="10" fontId="4" fillId="3" borderId="6" xfId="0" applyNumberFormat="1" applyFont="1" applyFill="1" applyBorder="1"/>
    <xf numFmtId="39" fontId="5" fillId="3" borderId="5" xfId="0" applyNumberFormat="1" applyFont="1" applyFill="1" applyBorder="1"/>
    <xf numFmtId="0" fontId="0" fillId="3" borderId="0" xfId="0" applyFill="1"/>
    <xf numFmtId="39" fontId="5" fillId="3" borderId="2" xfId="0" applyNumberFormat="1" applyFont="1" applyFill="1" applyBorder="1"/>
    <xf numFmtId="39" fontId="5" fillId="3" borderId="7" xfId="0" applyNumberFormat="1" applyFont="1" applyFill="1" applyBorder="1"/>
    <xf numFmtId="0" fontId="0" fillId="3" borderId="18" xfId="0" applyFill="1" applyBorder="1"/>
    <xf numFmtId="39" fontId="5" fillId="3" borderId="3" xfId="0" applyNumberFormat="1" applyFont="1" applyFill="1" applyBorder="1"/>
    <xf numFmtId="0" fontId="0" fillId="0" borderId="0" xfId="0" applyAlignment="1">
      <alignment horizontal="right"/>
    </xf>
    <xf numFmtId="0" fontId="3" fillId="0" borderId="0" xfId="0" applyFont="1"/>
    <xf numFmtId="0" fontId="5" fillId="0" borderId="2" xfId="0" applyFont="1" applyBorder="1"/>
    <xf numFmtId="165" fontId="0" fillId="0" borderId="0" xfId="0" applyNumberFormat="1" applyAlignment="1">
      <alignment horizontal="left" indent="4"/>
    </xf>
    <xf numFmtId="0" fontId="5" fillId="3" borderId="0" xfId="0" applyFont="1" applyFill="1" applyAlignment="1">
      <alignment horizontal="left" indent="1"/>
    </xf>
    <xf numFmtId="4" fontId="5" fillId="3" borderId="2" xfId="0" applyNumberFormat="1" applyFont="1" applyFill="1" applyBorder="1"/>
    <xf numFmtId="0" fontId="0" fillId="0" borderId="4" xfId="0" applyBorder="1"/>
    <xf numFmtId="0" fontId="4" fillId="0" borderId="0" xfId="0" applyFont="1" applyAlignment="1">
      <alignment horizontal="left" indent="1"/>
    </xf>
    <xf numFmtId="39" fontId="8" fillId="2" borderId="1" xfId="0" applyNumberFormat="1" applyFont="1" applyFill="1" applyBorder="1"/>
    <xf numFmtId="3" fontId="0" fillId="0" borderId="4" xfId="0" applyNumberFormat="1" applyBorder="1"/>
    <xf numFmtId="165" fontId="8" fillId="2" borderId="1" xfId="0" applyNumberFormat="1" applyFont="1" applyFill="1" applyBorder="1"/>
    <xf numFmtId="0" fontId="3" fillId="2" borderId="0" xfId="0" applyFont="1" applyFill="1"/>
    <xf numFmtId="0" fontId="8" fillId="2" borderId="0" xfId="0" applyFont="1" applyFill="1"/>
    <xf numFmtId="37" fontId="0" fillId="0" borderId="20" xfId="0" applyNumberFormat="1" applyBorder="1"/>
    <xf numFmtId="37" fontId="0" fillId="0" borderId="0" xfId="0" applyNumberFormat="1"/>
    <xf numFmtId="37" fontId="0" fillId="0" borderId="15" xfId="0" applyNumberFormat="1" applyBorder="1"/>
    <xf numFmtId="37" fontId="0" fillId="0" borderId="2" xfId="0" applyNumberFormat="1" applyBorder="1"/>
    <xf numFmtId="10" fontId="5" fillId="0" borderId="0" xfId="0" applyNumberFormat="1" applyFont="1"/>
    <xf numFmtId="37" fontId="3" fillId="0" borderId="0" xfId="0" applyNumberFormat="1" applyFont="1"/>
    <xf numFmtId="10" fontId="3" fillId="0" borderId="0" xfId="0" applyNumberFormat="1" applyFont="1"/>
    <xf numFmtId="0" fontId="5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8" fillId="2" borderId="0" xfId="0" applyFont="1" applyFill="1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8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fill>
        <patternFill>
          <bgColor rgb="FFC00000"/>
        </patternFill>
      </fill>
    </dxf>
    <dxf>
      <fill>
        <patternFill>
          <bgColor theme="0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ndo Pakel" id="{A105153E-8413-48F3-A229-C82E5A1613DD}" userId="4cef457bb869b14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1" dT="2025-05-16T23:44:56.36" personId="{A105153E-8413-48F3-A229-C82E5A1613DD}" id="{9C55AC22-23F1-487E-A4D9-937DB6994876}">
    <text>22.5% projected tax rate sourced from CrowdStrike announcement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6" dT="2025-05-16T23:54:55.77" personId="{A105153E-8413-48F3-A229-C82E5A1613DD}" id="{0946EE48-331E-4B05-8EDC-E13E60074844}">
    <text>Sourced from Finbox: Total current debt for CrowdStrike</text>
  </threadedComment>
  <threadedComment ref="C7" dT="2025-05-16T23:55:12.37" personId="{A105153E-8413-48F3-A229-C82E5A1613DD}" id="{DFFB057A-CEC4-475C-9858-0122E167D78A}">
    <text>Sourced from Finbox: Total Current Equity for CrowdStrike</text>
  </threadedComment>
  <threadedComment ref="C13" dT="2025-05-16T23:59:57.67" personId="{A105153E-8413-48F3-A229-C82E5A1613DD}" id="{CADDDDAA-15F3-4CC0-81C3-E69A389D8F1F}">
    <text>Sourced from Finbox: Pre-tax cost of debt CrowdStrike</text>
  </threadedComment>
  <threadedComment ref="C14" dT="2025-05-17T00:01:49.28" personId="{A105153E-8413-48F3-A229-C82E5A1613DD}" id="{0A2CE805-9959-485C-B44A-62DB49E44B1D}">
    <text>Sourced from CrowdStrike announcement. Projected effective tax-rate</text>
  </threadedComment>
  <threadedComment ref="G16" dT="2025-05-17T00:20:34.36" personId="{A105153E-8413-48F3-A229-C82E5A1613DD}" id="{73954859-DB29-4605-9832-D2F4A2C10771}">
    <text>Sourced from Finbox: CrowdStrike beta (5 year)</text>
  </threadedComment>
  <threadedComment ref="C18" dT="2025-05-17T00:02:33.97" personId="{A105153E-8413-48F3-A229-C82E5A1613DD}" id="{507D381A-B7A2-4F70-8FE1-1A8692721301}">
    <text>Current 10-year Treasury Yield</text>
  </threadedComment>
  <threadedComment ref="C19" dT="2025-05-17T00:04:22.00" personId="{A105153E-8413-48F3-A229-C82E5A1613DD}" id="{9E209BBF-A5D9-40F2-A6A8-B0D745C87660}">
    <text>Duff &amp; Phelps recommended US Equity Risk Premium</text>
  </threadedComment>
  <threadedComment ref="C21" dT="2025-05-17T00:29:54.66" personId="{A105153E-8413-48F3-A229-C82E5A1613DD}" id="{17EED8D6-7A6E-4FDB-BBEF-9BAE53B47EDB}">
    <text>Personal assumption, textbook 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6" dT="2025-05-17T04:43:01.10" personId="{A105153E-8413-48F3-A229-C82E5A1613DD}" id="{EEBB1174-66A0-4BF1-9299-72932C7CF3F9}">
    <text>Sourced from Finbox: CrowdStrike Predicted EV/EBITDA Exit Multiple (FY+5)</text>
  </threadedComment>
  <threadedComment ref="M7" dT="2025-05-17T05:04:04.82" personId="{A105153E-8413-48F3-A229-C82E5A1613DD}" id="{E3C7D530-25E3-46A3-A60E-49B8E923A0A7}">
    <text>Assumption</text>
  </threadedComment>
  <threadedComment ref="F14" dT="2025-05-17T04:55:47.81" personId="{A105153E-8413-48F3-A229-C82E5A1613DD}" id="{72F784D0-D7A1-40DB-89D1-10EAC4320535}">
    <text>Utilized 0.5 for mid-year convention in formula</text>
  </threadedComment>
  <threadedComment ref="M14" dT="2025-05-17T05:11:05.42" personId="{A105153E-8413-48F3-A229-C82E5A1613DD}" id="{0B3100D5-AF84-4DB2-BEC8-B8B2B9BEF69D}">
    <text>Utilizing 0.5 mid-year convention in formula</text>
  </threadedComment>
  <threadedComment ref="I29" dT="2025-05-17T05:32:43.81" personId="{A105153E-8413-48F3-A229-C82E5A1613DD}" id="{55F8284E-9D3F-43B7-ACAC-C8CFD2C85E17}">
    <text>Mid-year convention not used for EMM</text>
  </threadedComment>
  <threadedComment ref="M36" dT="2025-05-17T05:49:31.24" personId="{A105153E-8413-48F3-A229-C82E5A1613DD}" id="{82B87087-C13C-466E-8CC4-FDE3AFD37823}">
    <text>Sourced from Finbox: CrowdStrike minority interest 2024</text>
  </threadedComment>
  <threadedComment ref="M37" dT="2025-05-17T05:49:49.92" personId="{A105153E-8413-48F3-A229-C82E5A1613DD}" id="{09EF3343-8325-427B-8B38-3B56B9E4D93A}">
    <text>Sourced from Finbox: CrowdStrike Cash and Equivalents 2024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0987-9614-A448-A39A-ABB44E220FE8}">
  <dimension ref="A1:X63"/>
  <sheetViews>
    <sheetView workbookViewId="0">
      <selection activeCell="G11" sqref="G11"/>
    </sheetView>
  </sheetViews>
  <sheetFormatPr baseColWidth="10" defaultColWidth="11" defaultRowHeight="16" x14ac:dyDescent="0.2"/>
  <cols>
    <col min="1" max="1" width="43" bestFit="1" customWidth="1"/>
    <col min="6" max="6" width="13" bestFit="1" customWidth="1"/>
    <col min="7" max="7" width="11" customWidth="1"/>
    <col min="15" max="15" width="26.33203125" bestFit="1" customWidth="1"/>
    <col min="16" max="16" width="11.1640625" bestFit="1" customWidth="1"/>
    <col min="19" max="19" width="18.6640625" bestFit="1" customWidth="1"/>
  </cols>
  <sheetData>
    <row r="1" spans="1:24" ht="27" x14ac:dyDescent="0.35">
      <c r="A1" s="96" t="s">
        <v>0</v>
      </c>
      <c r="B1" s="97"/>
      <c r="C1" s="97"/>
      <c r="D1" s="97"/>
      <c r="E1" s="97"/>
      <c r="F1" s="98"/>
    </row>
    <row r="2" spans="1:24" x14ac:dyDescent="0.2">
      <c r="A2" s="99" t="s">
        <v>1</v>
      </c>
      <c r="B2" s="100"/>
      <c r="C2" s="100"/>
      <c r="D2" s="100"/>
      <c r="E2" s="100"/>
      <c r="F2" s="101"/>
    </row>
    <row r="3" spans="1:24" x14ac:dyDescent="0.2">
      <c r="C3" s="94" t="s">
        <v>2</v>
      </c>
      <c r="D3" s="94"/>
      <c r="E3" s="94"/>
      <c r="F3" s="93" t="s">
        <v>3</v>
      </c>
      <c r="G3" s="95" t="s">
        <v>4</v>
      </c>
      <c r="H3" s="95"/>
      <c r="I3" s="95"/>
      <c r="J3" s="95"/>
      <c r="K3" s="95"/>
      <c r="L3" s="93" t="s">
        <v>3</v>
      </c>
      <c r="O3" s="20" t="s">
        <v>5</v>
      </c>
      <c r="P3" s="22">
        <v>2022</v>
      </c>
      <c r="Q3" s="22">
        <f>P3+1</f>
        <v>2023</v>
      </c>
      <c r="R3" s="22">
        <f t="shared" ref="R3" si="0">Q3+1</f>
        <v>2024</v>
      </c>
      <c r="S3" s="21" t="s">
        <v>6</v>
      </c>
      <c r="T3" s="23">
        <f>R3+1</f>
        <v>2025</v>
      </c>
      <c r="U3" s="22">
        <f>T3+1</f>
        <v>2026</v>
      </c>
      <c r="V3" s="22">
        <f>U3+1</f>
        <v>2027</v>
      </c>
      <c r="W3" s="22">
        <f>V3+1</f>
        <v>2028</v>
      </c>
      <c r="X3" s="22">
        <f>W3+1</f>
        <v>2029</v>
      </c>
    </row>
    <row r="4" spans="1:24" s="1" customFormat="1" x14ac:dyDescent="0.2">
      <c r="A4"/>
      <c r="B4"/>
      <c r="C4" s="93">
        <v>2022</v>
      </c>
      <c r="D4" s="93">
        <v>2023</v>
      </c>
      <c r="E4" s="93">
        <v>2024</v>
      </c>
      <c r="F4" s="93" t="s">
        <v>7</v>
      </c>
      <c r="G4" s="93">
        <v>2025</v>
      </c>
      <c r="H4" s="93">
        <v>2026</v>
      </c>
      <c r="I4" s="93">
        <v>2027</v>
      </c>
      <c r="J4" s="93">
        <v>2028</v>
      </c>
      <c r="K4" s="93">
        <v>2029</v>
      </c>
      <c r="L4" s="93" t="s">
        <v>8</v>
      </c>
      <c r="O4" s="19" t="s">
        <v>9</v>
      </c>
      <c r="P4" s="7">
        <v>0.66</v>
      </c>
      <c r="Q4" s="7">
        <f>D8</f>
        <v>0.54398969405961728</v>
      </c>
      <c r="R4" s="7">
        <f>E8</f>
        <v>0.363334582641752</v>
      </c>
      <c r="S4" s="24">
        <f>F7</f>
        <v>0.45085304050890507</v>
      </c>
      <c r="T4" s="7">
        <v>0.25</v>
      </c>
      <c r="U4" s="7">
        <f t="shared" ref="U4:X4" si="1">T4</f>
        <v>0.25</v>
      </c>
      <c r="V4" s="7">
        <f t="shared" si="1"/>
        <v>0.25</v>
      </c>
      <c r="W4" s="7">
        <f t="shared" si="1"/>
        <v>0.25</v>
      </c>
      <c r="X4" s="7">
        <f t="shared" si="1"/>
        <v>0.25</v>
      </c>
    </row>
    <row r="5" spans="1:24" x14ac:dyDescent="0.2">
      <c r="O5" t="s">
        <v>10</v>
      </c>
      <c r="P5" s="7">
        <f>C12</f>
        <v>0.73599983466405805</v>
      </c>
      <c r="Q5" s="7">
        <f t="shared" ref="Q5:R5" si="2">D12</f>
        <v>0.73174224982598912</v>
      </c>
      <c r="R5" s="7">
        <f t="shared" si="2"/>
        <v>0.7526738142926338</v>
      </c>
      <c r="S5" s="30">
        <f>F11</f>
        <v>0.46719544271470981</v>
      </c>
      <c r="T5" s="7">
        <f>S5</f>
        <v>0.46719544271470981</v>
      </c>
      <c r="U5" s="7">
        <f>T5</f>
        <v>0.46719544271470981</v>
      </c>
      <c r="V5" s="7">
        <f t="shared" ref="V5:X6" si="3">T5</f>
        <v>0.46719544271470981</v>
      </c>
      <c r="W5" s="7">
        <f t="shared" si="3"/>
        <v>0.46719544271470981</v>
      </c>
      <c r="X5" s="7">
        <f t="shared" si="3"/>
        <v>0.46719544271470981</v>
      </c>
    </row>
    <row r="6" spans="1:24" x14ac:dyDescent="0.2">
      <c r="A6" s="84" t="s">
        <v>11</v>
      </c>
      <c r="B6" s="2"/>
      <c r="C6" s="2"/>
      <c r="D6" s="2"/>
      <c r="E6" s="2"/>
      <c r="F6" s="2"/>
      <c r="O6" t="s">
        <v>12</v>
      </c>
      <c r="P6" s="7">
        <f>C14</f>
        <v>0.83420249519492429</v>
      </c>
      <c r="Q6" s="7">
        <f t="shared" ref="Q6:R6" si="4">D14</f>
        <v>0.81656582963002622</v>
      </c>
      <c r="R6" s="7">
        <f t="shared" si="4"/>
        <v>0.75332508607260207</v>
      </c>
      <c r="S6" s="30">
        <f>F13</f>
        <v>0.37872895650075988</v>
      </c>
      <c r="T6" s="7">
        <f>S6</f>
        <v>0.37872895650075988</v>
      </c>
      <c r="U6" s="7">
        <f>T6</f>
        <v>0.37872895650075988</v>
      </c>
      <c r="V6" s="7">
        <f t="shared" si="3"/>
        <v>0.37872895650075988</v>
      </c>
      <c r="W6" s="7">
        <f t="shared" si="3"/>
        <v>0.37872895650075988</v>
      </c>
      <c r="X6" s="7">
        <f t="shared" si="3"/>
        <v>0.37872895650075988</v>
      </c>
    </row>
    <row r="7" spans="1:24" x14ac:dyDescent="0.2">
      <c r="A7" s="43" t="s">
        <v>13</v>
      </c>
      <c r="B7" s="43"/>
      <c r="C7" s="46">
        <v>1451.59</v>
      </c>
      <c r="D7" s="46">
        <v>2241.2399999999998</v>
      </c>
      <c r="E7" s="46">
        <v>3055.56</v>
      </c>
      <c r="F7" s="66">
        <f>((E7/C7)^(1/2))-1</f>
        <v>0.45085304050890507</v>
      </c>
      <c r="G7" s="46">
        <f>E7*(1+$S$4)</f>
        <v>4433.1685164573901</v>
      </c>
      <c r="H7" s="67">
        <f>G7*(1+$S$4)</f>
        <v>6431.8760211905565</v>
      </c>
      <c r="I7" s="67">
        <f>H7*(1+$S$4)</f>
        <v>9331.7068815206367</v>
      </c>
      <c r="J7" s="67">
        <f t="shared" ref="J7:K7" si="5">I7*(1+$S$4)</f>
        <v>13538.935302192089</v>
      </c>
      <c r="K7" s="67">
        <f t="shared" si="5"/>
        <v>19643.005448438744</v>
      </c>
      <c r="L7" s="7">
        <f>((K7/G7)^(1/4))-1</f>
        <v>0.45085304050890507</v>
      </c>
      <c r="O7" t="s">
        <v>14</v>
      </c>
      <c r="P7" s="7">
        <f>C16</f>
        <v>-9.8202660530866279E-2</v>
      </c>
      <c r="Q7" s="7">
        <f t="shared" ref="Q7:R7" si="6">D16</f>
        <v>-8.4823579804037111E-2</v>
      </c>
      <c r="R7" s="7">
        <f t="shared" si="6"/>
        <v>-6.5127177996824866E-4</v>
      </c>
      <c r="S7" s="27"/>
      <c r="T7" s="7">
        <f>G16</f>
        <v>-6.5127177996830504E-4</v>
      </c>
      <c r="U7" s="7">
        <f t="shared" ref="U7:X7" si="7">H16</f>
        <v>-6.5127177996834786E-4</v>
      </c>
      <c r="V7" s="7">
        <f t="shared" si="7"/>
        <v>-6.5127177996827435E-4</v>
      </c>
      <c r="W7" s="7">
        <f t="shared" si="7"/>
        <v>-6.5127177996829365E-4</v>
      </c>
      <c r="X7" s="7">
        <f t="shared" si="7"/>
        <v>-6.5127177996822101E-4</v>
      </c>
    </row>
    <row r="8" spans="1:24" x14ac:dyDescent="0.2">
      <c r="A8" s="3" t="s">
        <v>15</v>
      </c>
      <c r="B8" s="3"/>
      <c r="C8" s="7">
        <v>0.66</v>
      </c>
      <c r="D8" s="7">
        <f>(D7-C7)/C7</f>
        <v>0.54398969405961728</v>
      </c>
      <c r="E8" s="7">
        <f>(E7-D7)/D7</f>
        <v>0.363334582641752</v>
      </c>
      <c r="F8" s="16"/>
      <c r="G8" s="7">
        <f>(G7-E7)/E7</f>
        <v>0.45085304050890512</v>
      </c>
      <c r="H8" s="7">
        <f>(H7-G7)/G7</f>
        <v>0.45085304050890507</v>
      </c>
      <c r="I8" s="7">
        <f>(I7-H7)/H7</f>
        <v>0.45085304050890496</v>
      </c>
      <c r="J8" s="7">
        <f t="shared" ref="J8:K8" si="8">(J7-I7)/I7</f>
        <v>0.45085304050890512</v>
      </c>
      <c r="K8" s="7">
        <f t="shared" si="8"/>
        <v>0.45085304050890507</v>
      </c>
      <c r="O8" t="s">
        <v>16</v>
      </c>
      <c r="P8" s="7">
        <f>C20</f>
        <v>-5.0799468169386797E-2</v>
      </c>
      <c r="Q8" s="7">
        <f t="shared" ref="Q8:R8" si="9">D20</f>
        <v>-4.2967285966697064E-2</v>
      </c>
      <c r="R8" s="7">
        <f t="shared" si="9"/>
        <v>4.6885022712694312E-2</v>
      </c>
      <c r="S8" s="27"/>
      <c r="T8" s="7">
        <f>G20</f>
        <v>4.6885022712694249E-2</v>
      </c>
      <c r="U8" s="7">
        <f t="shared" ref="U8:X8" si="10">H20</f>
        <v>4.6885022712694208E-2</v>
      </c>
      <c r="V8" s="7">
        <f t="shared" si="10"/>
        <v>4.6885022712694284E-2</v>
      </c>
      <c r="W8" s="7">
        <f t="shared" si="10"/>
        <v>4.688502271269427E-2</v>
      </c>
      <c r="X8" s="7">
        <f t="shared" si="10"/>
        <v>4.6885022712694339E-2</v>
      </c>
    </row>
    <row r="9" spans="1:24" x14ac:dyDescent="0.2">
      <c r="A9" t="s">
        <v>17</v>
      </c>
      <c r="C9" s="9">
        <v>383.22</v>
      </c>
      <c r="D9" s="9">
        <v>601.23</v>
      </c>
      <c r="E9" s="9">
        <v>755.72</v>
      </c>
      <c r="F9" s="32"/>
      <c r="G9" s="9">
        <f>G7*(1-$E$12)</f>
        <v>1096.4386597733896</v>
      </c>
      <c r="H9" s="15">
        <f t="shared" ref="H9:K9" si="11">H7*(1-$E$12)</f>
        <v>1590.7713632637312</v>
      </c>
      <c r="I9" s="15">
        <f t="shared" si="11"/>
        <v>2307.9754691456801</v>
      </c>
      <c r="J9" s="15">
        <f t="shared" si="11"/>
        <v>3348.5332268299767</v>
      </c>
      <c r="K9" s="15">
        <f t="shared" si="11"/>
        <v>4858.2296133913669</v>
      </c>
      <c r="O9" t="s">
        <v>18</v>
      </c>
      <c r="P9" s="7">
        <f>C36/C35</f>
        <v>-0.50277932184546903</v>
      </c>
      <c r="Q9" s="7">
        <f>D36/D35</f>
        <v>-0.13923421183490789</v>
      </c>
      <c r="R9" s="7">
        <f>E36/E35</f>
        <v>0.25933376247183726</v>
      </c>
      <c r="S9" s="30">
        <v>0.22500000000000001</v>
      </c>
      <c r="T9" s="7">
        <f>S9</f>
        <v>0.22500000000000001</v>
      </c>
      <c r="U9" s="7">
        <f t="shared" ref="U9:X9" si="12">T9</f>
        <v>0.22500000000000001</v>
      </c>
      <c r="V9" s="7">
        <f t="shared" si="12"/>
        <v>0.22500000000000001</v>
      </c>
      <c r="W9" s="7">
        <f t="shared" si="12"/>
        <v>0.22500000000000001</v>
      </c>
      <c r="X9" s="7">
        <f t="shared" si="12"/>
        <v>0.22500000000000001</v>
      </c>
    </row>
    <row r="10" spans="1:24" x14ac:dyDescent="0.2">
      <c r="A10" s="3" t="s">
        <v>19</v>
      </c>
      <c r="B10" s="3"/>
      <c r="C10" s="7">
        <f>(C9/C7)</f>
        <v>0.26400016533594201</v>
      </c>
      <c r="D10" s="7">
        <f t="shared" ref="D10:E10" si="13">(D9/D7)</f>
        <v>0.26825775017401082</v>
      </c>
      <c r="E10" s="7">
        <f t="shared" si="13"/>
        <v>0.24732618570736625</v>
      </c>
      <c r="F10" s="16"/>
      <c r="G10" s="7">
        <f t="shared" ref="G10" si="14">(G9/G7)</f>
        <v>0.24732618570736623</v>
      </c>
      <c r="H10" s="7">
        <f t="shared" ref="H10" si="15">(H9/H7)</f>
        <v>0.2473261857073662</v>
      </c>
      <c r="I10" s="7">
        <f t="shared" ref="I10" si="16">(I9/I7)</f>
        <v>0.2473261857073662</v>
      </c>
      <c r="J10" s="7">
        <f t="shared" ref="J10" si="17">(J9/J7)</f>
        <v>0.2473261857073662</v>
      </c>
      <c r="K10" s="7">
        <f t="shared" ref="K10" si="18">(K9/K7)</f>
        <v>0.2473261857073662</v>
      </c>
      <c r="O10" t="s">
        <v>20</v>
      </c>
      <c r="P10" s="7">
        <f>C24</f>
        <v>-9.2099008673247953E-2</v>
      </c>
      <c r="Q10" s="7">
        <f>D24</f>
        <v>-0.11888061965697562</v>
      </c>
      <c r="R10" s="7">
        <f>E24</f>
        <v>-7.7599523491602193E-2</v>
      </c>
      <c r="S10" s="31">
        <f>R10</f>
        <v>-7.7599523491602193E-2</v>
      </c>
      <c r="T10" s="3"/>
      <c r="U10" s="3"/>
      <c r="V10" s="3"/>
      <c r="W10" s="3"/>
      <c r="X10" s="3"/>
    </row>
    <row r="11" spans="1:24" x14ac:dyDescent="0.2">
      <c r="A11" s="43" t="s">
        <v>21</v>
      </c>
      <c r="B11" s="68"/>
      <c r="C11" s="69">
        <f>C7-C9</f>
        <v>1068.3699999999999</v>
      </c>
      <c r="D11" s="69">
        <f t="shared" ref="D11:E11" si="19">D7-D9</f>
        <v>1640.0099999999998</v>
      </c>
      <c r="E11" s="69">
        <f t="shared" si="19"/>
        <v>2299.84</v>
      </c>
      <c r="F11" s="66">
        <f>((E11/C11)^(1/2))-1</f>
        <v>0.46719544271470981</v>
      </c>
      <c r="G11" s="69">
        <f>G7-G9</f>
        <v>3336.7298566840004</v>
      </c>
      <c r="H11" s="70">
        <f t="shared" ref="H11:K11" si="20">H7-H9</f>
        <v>4841.104657926825</v>
      </c>
      <c r="I11" s="70">
        <f t="shared" si="20"/>
        <v>7023.7314123749566</v>
      </c>
      <c r="J11" s="70">
        <f t="shared" si="20"/>
        <v>10190.402075362112</v>
      </c>
      <c r="K11" s="70">
        <f t="shared" si="20"/>
        <v>14784.775835047378</v>
      </c>
      <c r="L11" s="7">
        <f>((K11/G11)^(1/4))-1</f>
        <v>0.45085304050890507</v>
      </c>
    </row>
    <row r="12" spans="1:24" x14ac:dyDescent="0.2">
      <c r="A12" s="3" t="s">
        <v>22</v>
      </c>
      <c r="B12" s="3"/>
      <c r="C12" s="25">
        <f>C11/C7</f>
        <v>0.73599983466405805</v>
      </c>
      <c r="D12" s="25">
        <f t="shared" ref="D12:E12" si="21">D11/D7</f>
        <v>0.73174224982598912</v>
      </c>
      <c r="E12" s="25">
        <f t="shared" si="21"/>
        <v>0.7526738142926338</v>
      </c>
      <c r="F12" s="33"/>
      <c r="G12" s="25">
        <f t="shared" ref="G12" si="22">G11/G7</f>
        <v>0.7526738142926338</v>
      </c>
      <c r="H12" s="25">
        <f t="shared" ref="H12" si="23">H11/H7</f>
        <v>0.7526738142926338</v>
      </c>
      <c r="I12" s="25">
        <f t="shared" ref="I12" si="24">I11/I7</f>
        <v>0.7526738142926338</v>
      </c>
      <c r="J12" s="25">
        <f t="shared" ref="J12" si="25">J11/J7</f>
        <v>0.7526738142926338</v>
      </c>
      <c r="K12" s="25">
        <f t="shared" ref="K12" si="26">K11/K7</f>
        <v>0.7526738142926338</v>
      </c>
    </row>
    <row r="13" spans="1:24" x14ac:dyDescent="0.2">
      <c r="A13" t="s">
        <v>23</v>
      </c>
      <c r="C13" s="9">
        <v>1210.92</v>
      </c>
      <c r="D13" s="9">
        <v>1830.12</v>
      </c>
      <c r="E13" s="9">
        <v>2301.83</v>
      </c>
      <c r="F13" s="16">
        <f>((E13/C13)^(1/2))-1</f>
        <v>0.37872895650075988</v>
      </c>
      <c r="G13" s="9">
        <f>G7*$E$14</f>
        <v>3339.6170542346131</v>
      </c>
      <c r="H13" s="15">
        <f t="shared" ref="H13:K13" si="27">H7*$E$14</f>
        <v>4845.2935572716815</v>
      </c>
      <c r="I13" s="15">
        <f t="shared" si="27"/>
        <v>7029.8088897258267</v>
      </c>
      <c r="J13" s="15">
        <f t="shared" si="27"/>
        <v>10199.219601855246</v>
      </c>
      <c r="K13" s="15">
        <f t="shared" si="27"/>
        <v>14797.568770169708</v>
      </c>
    </row>
    <row r="14" spans="1:24" x14ac:dyDescent="0.2">
      <c r="A14" s="3" t="s">
        <v>19</v>
      </c>
      <c r="B14" s="3"/>
      <c r="C14" s="7">
        <f>C13/C7</f>
        <v>0.83420249519492429</v>
      </c>
      <c r="D14" s="7">
        <f t="shared" ref="D14:E14" si="28">D13/D7</f>
        <v>0.81656582963002622</v>
      </c>
      <c r="E14" s="7">
        <f t="shared" si="28"/>
        <v>0.75332508607260207</v>
      </c>
      <c r="F14" s="32"/>
      <c r="G14" s="7">
        <f>G13/G7</f>
        <v>0.75332508607260207</v>
      </c>
      <c r="H14" s="29">
        <f t="shared" ref="H14:K14" si="29">H13/H7</f>
        <v>0.75332508607260207</v>
      </c>
      <c r="I14" s="29">
        <f t="shared" si="29"/>
        <v>0.75332508607260207</v>
      </c>
      <c r="J14" s="29">
        <f t="shared" si="29"/>
        <v>0.75332508607260207</v>
      </c>
      <c r="K14" s="29">
        <f t="shared" si="29"/>
        <v>0.75332508607260207</v>
      </c>
    </row>
    <row r="15" spans="1:24" x14ac:dyDescent="0.2">
      <c r="A15" s="43" t="s">
        <v>24</v>
      </c>
      <c r="B15" s="68"/>
      <c r="C15" s="69">
        <f>C11-C13</f>
        <v>-142.55000000000018</v>
      </c>
      <c r="D15" s="69">
        <f t="shared" ref="D15:E15" si="30">D11-D13</f>
        <v>-190.11000000000013</v>
      </c>
      <c r="E15" s="69">
        <f t="shared" si="30"/>
        <v>-1.9899999999997817</v>
      </c>
      <c r="F15" s="66">
        <f>(-1)*((ABS(E15)/ABS(C15))^(1/2)-1)</f>
        <v>0.88184749672493901</v>
      </c>
      <c r="G15" s="69">
        <f>G11-G13</f>
        <v>-2.8871975506126546</v>
      </c>
      <c r="H15" s="70">
        <f t="shared" ref="H15:K15" si="31">H11-H13</f>
        <v>-4.1888993448565088</v>
      </c>
      <c r="I15" s="70">
        <f t="shared" si="31"/>
        <v>-6.0774773508701401</v>
      </c>
      <c r="J15" s="70">
        <f t="shared" si="31"/>
        <v>-8.8175264931342099</v>
      </c>
      <c r="K15" s="70">
        <f t="shared" si="31"/>
        <v>-12.792935122330164</v>
      </c>
      <c r="L15" s="7">
        <f>((ABS(K15)/ABS(G15))^(1/4)-1)</f>
        <v>0.45085304050885822</v>
      </c>
    </row>
    <row r="16" spans="1:24" x14ac:dyDescent="0.2">
      <c r="A16" s="3" t="s">
        <v>22</v>
      </c>
      <c r="C16" s="7">
        <f>C15/C7</f>
        <v>-9.8202660530866279E-2</v>
      </c>
      <c r="D16" s="7">
        <f t="shared" ref="D16:E16" si="32">D15/D7</f>
        <v>-8.4823579804037111E-2</v>
      </c>
      <c r="E16" s="7">
        <f t="shared" si="32"/>
        <v>-6.5127177996824866E-4</v>
      </c>
      <c r="F16" s="32"/>
      <c r="G16" s="5">
        <f>G15/G7</f>
        <v>-6.5127177996830504E-4</v>
      </c>
      <c r="H16" s="28">
        <f t="shared" ref="H16:K16" si="33">H15/H7</f>
        <v>-6.5127177996834786E-4</v>
      </c>
      <c r="I16" s="28">
        <f t="shared" si="33"/>
        <v>-6.5127177996827435E-4</v>
      </c>
      <c r="J16" s="28">
        <f t="shared" si="33"/>
        <v>-6.5127177996829365E-4</v>
      </c>
      <c r="K16" s="28">
        <f t="shared" si="33"/>
        <v>-6.5127177996822101E-4</v>
      </c>
    </row>
    <row r="17" spans="1:12" x14ac:dyDescent="0.2">
      <c r="A17" t="s">
        <v>25</v>
      </c>
      <c r="C17" s="9">
        <v>68.81</v>
      </c>
      <c r="D17" s="9">
        <v>93.81</v>
      </c>
      <c r="E17" s="9">
        <v>145.25</v>
      </c>
      <c r="F17" s="32"/>
      <c r="G17" s="9">
        <f>G7*$E$18</f>
        <v>210.73640413391846</v>
      </c>
      <c r="H17" s="15">
        <f t="shared" ref="H17:K17" si="34">H7*$E$18</f>
        <v>305.747552683609</v>
      </c>
      <c r="I17" s="15">
        <f t="shared" si="34"/>
        <v>443.59476643917071</v>
      </c>
      <c r="J17" s="15">
        <f t="shared" si="34"/>
        <v>643.59081564210851</v>
      </c>
      <c r="K17" s="15">
        <f t="shared" si="34"/>
        <v>933.75569171795928</v>
      </c>
    </row>
    <row r="18" spans="1:12" x14ac:dyDescent="0.2">
      <c r="A18" s="3" t="s">
        <v>19</v>
      </c>
      <c r="C18" s="7">
        <f>C17/C7</f>
        <v>4.7403192361479482E-2</v>
      </c>
      <c r="D18" s="7">
        <f t="shared" ref="D18:E18" si="35">D17/D7</f>
        <v>4.1856293837340047E-2</v>
      </c>
      <c r="E18" s="7">
        <f t="shared" si="35"/>
        <v>4.7536294492662556E-2</v>
      </c>
      <c r="F18" s="32"/>
      <c r="G18" s="5">
        <f>G17/G7</f>
        <v>4.7536294492662556E-2</v>
      </c>
      <c r="H18" s="5">
        <f t="shared" ref="H18:K18" si="36">H17/H7</f>
        <v>4.7536294492662556E-2</v>
      </c>
      <c r="I18" s="5">
        <f t="shared" si="36"/>
        <v>4.7536294492662556E-2</v>
      </c>
      <c r="J18" s="5">
        <f t="shared" si="36"/>
        <v>4.7536294492662563E-2</v>
      </c>
      <c r="K18" s="5">
        <f t="shared" si="36"/>
        <v>4.7536294492662556E-2</v>
      </c>
    </row>
    <row r="19" spans="1:12" x14ac:dyDescent="0.2">
      <c r="A19" s="43" t="s">
        <v>26</v>
      </c>
      <c r="B19" s="68"/>
      <c r="C19" s="69">
        <f>C15+C17</f>
        <v>-73.74000000000018</v>
      </c>
      <c r="D19" s="69">
        <f t="shared" ref="D19:E19" si="37">D15+D17</f>
        <v>-96.300000000000125</v>
      </c>
      <c r="E19" s="69">
        <f t="shared" si="37"/>
        <v>143.26000000000022</v>
      </c>
      <c r="F19" s="66">
        <f>((E19/ABS(C19))^(1/2))-1</f>
        <v>0.39383352710241093</v>
      </c>
      <c r="G19" s="69">
        <f>G15+G17</f>
        <v>207.8492065833058</v>
      </c>
      <c r="H19" s="70">
        <f t="shared" ref="H19:K19" si="38">H15+H17</f>
        <v>301.55865333875249</v>
      </c>
      <c r="I19" s="70">
        <f t="shared" si="38"/>
        <v>437.51728908830057</v>
      </c>
      <c r="J19" s="70">
        <f t="shared" si="38"/>
        <v>634.7732891489743</v>
      </c>
      <c r="K19" s="70">
        <f t="shared" si="38"/>
        <v>920.96275659562912</v>
      </c>
      <c r="L19" s="7">
        <f>((ABS(K19)/ABS(G19))^(1/4)-1)</f>
        <v>0.45085304050890573</v>
      </c>
    </row>
    <row r="20" spans="1:12" x14ac:dyDescent="0.2">
      <c r="A20" s="3" t="s">
        <v>22</v>
      </c>
      <c r="C20" s="7">
        <f>C19/C7</f>
        <v>-5.0799468169386797E-2</v>
      </c>
      <c r="D20" s="7">
        <f t="shared" ref="D20:E20" si="39">D19/D7</f>
        <v>-4.2967285966697064E-2</v>
      </c>
      <c r="E20" s="7">
        <f t="shared" si="39"/>
        <v>4.6885022712694312E-2</v>
      </c>
      <c r="F20" s="32"/>
      <c r="G20" s="5">
        <f>G19/G7</f>
        <v>4.6885022712694249E-2</v>
      </c>
      <c r="H20" s="28">
        <f t="shared" ref="H20:K20" si="40">H19/H7</f>
        <v>4.6885022712694208E-2</v>
      </c>
      <c r="I20" s="28">
        <f t="shared" si="40"/>
        <v>4.6885022712694284E-2</v>
      </c>
      <c r="J20" s="28">
        <f t="shared" si="40"/>
        <v>4.688502271269427E-2</v>
      </c>
      <c r="K20" s="28">
        <f t="shared" si="40"/>
        <v>4.6885022712694339E-2</v>
      </c>
    </row>
    <row r="21" spans="1:12" x14ac:dyDescent="0.2">
      <c r="A21" s="3" t="s">
        <v>27</v>
      </c>
      <c r="F21" s="32"/>
      <c r="G21" s="47">
        <f>G15*$S$9</f>
        <v>-0.64961944888784728</v>
      </c>
      <c r="H21" s="47">
        <f t="shared" ref="H21:K21" si="41">H15*$S$9</f>
        <v>-0.94250235259271453</v>
      </c>
      <c r="I21" s="47">
        <f t="shared" si="41"/>
        <v>-1.3674324039457815</v>
      </c>
      <c r="J21" s="47">
        <f t="shared" si="41"/>
        <v>-1.9839434609551974</v>
      </c>
      <c r="K21" s="47">
        <f t="shared" si="41"/>
        <v>-2.8784104025242869</v>
      </c>
    </row>
    <row r="22" spans="1:12" x14ac:dyDescent="0.2">
      <c r="A22" s="43" t="s">
        <v>28</v>
      </c>
      <c r="B22" s="68"/>
      <c r="C22" s="68"/>
      <c r="D22" s="68"/>
      <c r="E22" s="68"/>
      <c r="F22" s="71"/>
      <c r="G22" s="72">
        <f>G15-G21</f>
        <v>-2.2375781017248073</v>
      </c>
      <c r="H22" s="72">
        <f t="shared" ref="H22:K22" si="42">H15-H21</f>
        <v>-3.2463969922637945</v>
      </c>
      <c r="I22" s="72">
        <f t="shared" si="42"/>
        <v>-4.7100449469243584</v>
      </c>
      <c r="J22" s="72">
        <f t="shared" si="42"/>
        <v>-6.8335830321790123</v>
      </c>
      <c r="K22" s="72">
        <f t="shared" si="42"/>
        <v>-9.9145247198058772</v>
      </c>
    </row>
    <row r="23" spans="1:12" x14ac:dyDescent="0.2">
      <c r="A23" s="34" t="s">
        <v>29</v>
      </c>
      <c r="B23" s="10"/>
      <c r="C23" s="35">
        <v>-133.69</v>
      </c>
      <c r="D23" s="35">
        <v>-266.44</v>
      </c>
      <c r="E23" s="35">
        <v>-237.11</v>
      </c>
      <c r="F23" s="36"/>
      <c r="G23" s="6">
        <f>G7*$S$10</f>
        <v>-344.01176443506648</v>
      </c>
      <c r="H23" s="17">
        <f>H7*$S$10</f>
        <v>-499.11051440144945</v>
      </c>
      <c r="I23" s="17">
        <f>I7*$S$10</f>
        <v>-724.13600736930653</v>
      </c>
      <c r="J23" s="17">
        <f>J7*$S$10</f>
        <v>-1050.6149280337372</v>
      </c>
      <c r="K23" s="37">
        <f>K7*$S$10</f>
        <v>-1524.2878627417922</v>
      </c>
    </row>
    <row r="24" spans="1:12" x14ac:dyDescent="0.2">
      <c r="A24" s="38" t="s">
        <v>19</v>
      </c>
      <c r="B24" s="39"/>
      <c r="C24" s="40">
        <f>C23/C7</f>
        <v>-9.2099008673247953E-2</v>
      </c>
      <c r="D24" s="40">
        <f>D23/D7</f>
        <v>-0.11888061965697562</v>
      </c>
      <c r="E24" s="40">
        <f>E23/E7</f>
        <v>-7.7599523491602193E-2</v>
      </c>
      <c r="F24" s="41"/>
      <c r="G24" s="39">
        <f>G23/G7</f>
        <v>-7.7599523491602193E-2</v>
      </c>
      <c r="H24" s="39">
        <f>H23/H7</f>
        <v>-7.7599523491602193E-2</v>
      </c>
      <c r="I24" s="39">
        <f>I23/I7</f>
        <v>-7.7599523491602193E-2</v>
      </c>
      <c r="J24" s="39">
        <f>J23/J7</f>
        <v>-7.7599523491602193E-2</v>
      </c>
      <c r="K24" s="42">
        <f>K23/K7</f>
        <v>-7.7599523491602193E-2</v>
      </c>
    </row>
    <row r="25" spans="1:12" x14ac:dyDescent="0.2">
      <c r="A25" t="s">
        <v>30</v>
      </c>
      <c r="F25" s="36"/>
      <c r="G25" s="9">
        <f>G17</f>
        <v>210.73640413391846</v>
      </c>
      <c r="H25" s="9">
        <f t="shared" ref="H25:K25" si="43">H17</f>
        <v>305.747552683609</v>
      </c>
      <c r="I25" s="9">
        <f t="shared" si="43"/>
        <v>443.59476643917071</v>
      </c>
      <c r="J25" s="9">
        <f t="shared" si="43"/>
        <v>643.59081564210851</v>
      </c>
      <c r="K25" s="9">
        <f t="shared" si="43"/>
        <v>933.75569171795928</v>
      </c>
    </row>
    <row r="26" spans="1:12" x14ac:dyDescent="0.2">
      <c r="A26" t="s">
        <v>31</v>
      </c>
      <c r="F26" s="32"/>
      <c r="G26" s="48">
        <f>G23</f>
        <v>-344.01176443506648</v>
      </c>
      <c r="H26" s="48">
        <f t="shared" ref="H26:K26" si="44">H23</f>
        <v>-499.11051440144945</v>
      </c>
      <c r="I26" s="48">
        <f t="shared" si="44"/>
        <v>-724.13600736930653</v>
      </c>
      <c r="J26" s="48">
        <f t="shared" si="44"/>
        <v>-1050.6149280337372</v>
      </c>
      <c r="K26" s="48">
        <f t="shared" si="44"/>
        <v>-1524.2878627417922</v>
      </c>
    </row>
    <row r="27" spans="1:12" x14ac:dyDescent="0.2">
      <c r="A27" t="s">
        <v>32</v>
      </c>
      <c r="F27" s="32"/>
      <c r="G27" s="48">
        <f>G63</f>
        <v>-240.2328222652277</v>
      </c>
      <c r="H27" s="48">
        <f t="shared" ref="H27:K27" si="45">H63</f>
        <v>-184.27534143259982</v>
      </c>
      <c r="I27" s="48">
        <f t="shared" si="45"/>
        <v>-56.371674468300625</v>
      </c>
      <c r="J27" s="48">
        <f t="shared" si="45"/>
        <v>189.20181678802692</v>
      </c>
      <c r="K27" s="48">
        <f t="shared" si="45"/>
        <v>622.56208709174643</v>
      </c>
    </row>
    <row r="28" spans="1:12" x14ac:dyDescent="0.2">
      <c r="A28" s="49" t="s">
        <v>33</v>
      </c>
      <c r="B28" s="49"/>
      <c r="C28" s="49"/>
      <c r="D28" s="49"/>
      <c r="E28" s="49"/>
      <c r="F28" s="50"/>
      <c r="G28" s="51">
        <f>G22+G25-G26-G27</f>
        <v>792.74341273248785</v>
      </c>
      <c r="H28" s="51">
        <f t="shared" ref="H28:K28" si="46">H22+H25-H26-H27</f>
        <v>985.88701152539443</v>
      </c>
      <c r="I28" s="51">
        <f t="shared" si="46"/>
        <v>1219.3924033298536</v>
      </c>
      <c r="J28" s="51">
        <f t="shared" si="46"/>
        <v>1498.1703438556397</v>
      </c>
      <c r="K28" s="51">
        <f t="shared" si="46"/>
        <v>1825.5669426481991</v>
      </c>
    </row>
    <row r="29" spans="1:12" x14ac:dyDescent="0.2">
      <c r="F29" s="32"/>
    </row>
    <row r="30" spans="1:12" x14ac:dyDescent="0.2">
      <c r="F30" s="32"/>
    </row>
    <row r="31" spans="1:12" x14ac:dyDescent="0.2">
      <c r="F31" s="32"/>
    </row>
    <row r="32" spans="1:12" x14ac:dyDescent="0.2">
      <c r="A32" t="s">
        <v>34</v>
      </c>
      <c r="C32">
        <v>25.23</v>
      </c>
      <c r="D32">
        <v>25.32</v>
      </c>
      <c r="E32">
        <v>25.76</v>
      </c>
      <c r="F32" s="32"/>
    </row>
    <row r="33" spans="1:11" x14ac:dyDescent="0.2">
      <c r="A33" t="s">
        <v>35</v>
      </c>
      <c r="C33">
        <v>23.86</v>
      </c>
      <c r="D33">
        <v>2.0499999999999998</v>
      </c>
      <c r="E33">
        <v>3.1</v>
      </c>
      <c r="F33" s="32"/>
    </row>
    <row r="34" spans="1:11" x14ac:dyDescent="0.2">
      <c r="A34" t="s">
        <v>36</v>
      </c>
      <c r="C34" s="26" t="s">
        <v>37</v>
      </c>
      <c r="D34">
        <v>52.5</v>
      </c>
      <c r="E34">
        <v>148.93</v>
      </c>
      <c r="F34" s="32"/>
    </row>
    <row r="35" spans="1:11" x14ac:dyDescent="0.2">
      <c r="A35" t="s">
        <v>38</v>
      </c>
      <c r="C35" s="9">
        <f>C15-C32+C33</f>
        <v>-143.92000000000019</v>
      </c>
      <c r="D35" s="9">
        <f>D15-D32+D33+D34</f>
        <v>-160.88000000000011</v>
      </c>
      <c r="E35" s="9">
        <f>E15-E32+E33+E34</f>
        <v>124.28000000000023</v>
      </c>
      <c r="F35" s="32"/>
    </row>
    <row r="36" spans="1:11" x14ac:dyDescent="0.2">
      <c r="A36" t="s">
        <v>39</v>
      </c>
      <c r="C36">
        <v>72.36</v>
      </c>
      <c r="D36">
        <v>22.4</v>
      </c>
      <c r="E36">
        <v>32.229999999999997</v>
      </c>
      <c r="F36" s="32"/>
      <c r="G36" s="9"/>
      <c r="H36" s="9"/>
      <c r="I36" s="9"/>
      <c r="J36" s="9"/>
      <c r="K36" s="9"/>
    </row>
    <row r="37" spans="1:11" x14ac:dyDescent="0.2">
      <c r="A37" s="4" t="s">
        <v>40</v>
      </c>
      <c r="C37" s="8">
        <f>C35-C36</f>
        <v>-216.2800000000002</v>
      </c>
      <c r="D37" s="8">
        <f t="shared" ref="D37:E37" si="47">D35-D36</f>
        <v>-183.28000000000011</v>
      </c>
      <c r="E37" s="8">
        <f t="shared" si="47"/>
        <v>92.050000000000239</v>
      </c>
      <c r="F37" s="32"/>
    </row>
    <row r="40" spans="1:11" x14ac:dyDescent="0.2">
      <c r="A40" s="84" t="s">
        <v>41</v>
      </c>
      <c r="B40" s="84"/>
      <c r="C40" s="84"/>
      <c r="D40" s="84"/>
      <c r="E40" s="84"/>
      <c r="F40" s="84"/>
    </row>
    <row r="41" spans="1:11" x14ac:dyDescent="0.2">
      <c r="A41" s="11" t="s">
        <v>42</v>
      </c>
      <c r="F41" s="32"/>
    </row>
    <row r="42" spans="1:11" x14ac:dyDescent="0.2">
      <c r="A42" t="s">
        <v>43</v>
      </c>
      <c r="C42" s="13">
        <v>2000</v>
      </c>
      <c r="D42" s="13">
        <v>2710</v>
      </c>
      <c r="E42" s="13">
        <v>3470</v>
      </c>
      <c r="F42" s="32"/>
      <c r="G42" s="13">
        <f>E42*(1+$E$43)</f>
        <v>4456.8680000000004</v>
      </c>
      <c r="H42" s="13">
        <f>G42*(1+$E$43)</f>
        <v>5724.4012592000008</v>
      </c>
      <c r="I42" s="13">
        <f>H42*(1+$E$43)</f>
        <v>7352.4209773164812</v>
      </c>
      <c r="J42" s="13">
        <f>I42*(1+$E$43)</f>
        <v>9443.4495032652885</v>
      </c>
      <c r="K42" s="13">
        <f>J42*(1+$E$43)</f>
        <v>12129.166541993936</v>
      </c>
    </row>
    <row r="43" spans="1:11" x14ac:dyDescent="0.2">
      <c r="A43" s="3" t="s">
        <v>15</v>
      </c>
      <c r="C43" s="7">
        <v>4.7E-2</v>
      </c>
      <c r="D43" s="7">
        <v>0.35499999999999998</v>
      </c>
      <c r="E43" s="7">
        <v>0.28439999999999999</v>
      </c>
      <c r="F43" s="32"/>
      <c r="G43" s="7">
        <f>(G42-E42)/E42</f>
        <v>0.2844000000000001</v>
      </c>
      <c r="H43" s="7">
        <f>(H42-G42)/G42</f>
        <v>0.2844000000000001</v>
      </c>
      <c r="I43" s="7">
        <f t="shared" ref="I43:K43" si="48">(I42-H42)/H42</f>
        <v>0.28440000000000004</v>
      </c>
      <c r="J43" s="7">
        <f t="shared" si="48"/>
        <v>0.28439999999999999</v>
      </c>
      <c r="K43" s="7">
        <f t="shared" si="48"/>
        <v>0.28439999999999999</v>
      </c>
    </row>
    <row r="44" spans="1:11" x14ac:dyDescent="0.2">
      <c r="A44" t="s">
        <v>44</v>
      </c>
      <c r="C44">
        <v>368.15</v>
      </c>
      <c r="D44">
        <v>626.17999999999995</v>
      </c>
      <c r="E44">
        <v>853.11</v>
      </c>
      <c r="F44" s="32"/>
      <c r="G44" s="9">
        <f>(G7/365)*G45</f>
        <v>1237.7372373885521</v>
      </c>
      <c r="H44" s="9">
        <f>(H7/365)*H45</f>
        <v>1795.7748342162731</v>
      </c>
      <c r="I44" s="9">
        <f>(I7/365)*I45</f>
        <v>2605.4053782920546</v>
      </c>
      <c r="J44" s="9">
        <f>(J7/365)*J45</f>
        <v>3780.0603148532814</v>
      </c>
      <c r="K44" s="9">
        <f>(K7/365)*K45</f>
        <v>5484.3120011119327</v>
      </c>
    </row>
    <row r="45" spans="1:11" x14ac:dyDescent="0.2">
      <c r="A45" s="3" t="s">
        <v>45</v>
      </c>
      <c r="B45" s="3"/>
      <c r="C45" s="12">
        <f>(C44/C7)*365</f>
        <v>92.570732782672792</v>
      </c>
      <c r="D45" s="12">
        <f>(D44/D7)*365</f>
        <v>101.97734289946636</v>
      </c>
      <c r="E45" s="12">
        <f>(E44/E7)*365</f>
        <v>101.90771904331775</v>
      </c>
      <c r="F45" s="32"/>
      <c r="G45" s="12">
        <f>E45</f>
        <v>101.90771904331775</v>
      </c>
      <c r="H45" s="12">
        <f>G45</f>
        <v>101.90771904331775</v>
      </c>
      <c r="I45" s="12">
        <f t="shared" ref="I45:K45" si="49">G45</f>
        <v>101.90771904331775</v>
      </c>
      <c r="J45" s="12">
        <f t="shared" si="49"/>
        <v>101.90771904331775</v>
      </c>
      <c r="K45" s="12">
        <f t="shared" si="49"/>
        <v>101.90771904331775</v>
      </c>
    </row>
    <row r="46" spans="1:11" x14ac:dyDescent="0.2">
      <c r="A46" t="s">
        <v>46</v>
      </c>
      <c r="C46" s="26" t="s">
        <v>37</v>
      </c>
      <c r="D46" s="26" t="s">
        <v>37</v>
      </c>
      <c r="E46" s="26" t="s">
        <v>37</v>
      </c>
      <c r="F46" s="32"/>
    </row>
    <row r="47" spans="1:11" x14ac:dyDescent="0.2">
      <c r="A47" s="3" t="s">
        <v>47</v>
      </c>
      <c r="B47" s="3"/>
      <c r="C47" s="26" t="s">
        <v>37</v>
      </c>
      <c r="D47" s="26" t="s">
        <v>37</v>
      </c>
      <c r="E47" s="26" t="s">
        <v>37</v>
      </c>
      <c r="F47" s="32"/>
    </row>
    <row r="48" spans="1:11" x14ac:dyDescent="0.2">
      <c r="A48" t="s">
        <v>48</v>
      </c>
      <c r="C48">
        <v>79.349999999999994</v>
      </c>
      <c r="D48">
        <v>121.86</v>
      </c>
      <c r="E48">
        <v>183.17</v>
      </c>
      <c r="F48" s="32"/>
      <c r="G48" s="9">
        <f>G7*$E$49</f>
        <v>265.75275143001613</v>
      </c>
      <c r="H48" s="9">
        <f>H7*$E$49</f>
        <v>385.56818743584614</v>
      </c>
      <c r="I48" s="9">
        <f>I7*$E$49</f>
        <v>559.40277706480481</v>
      </c>
      <c r="J48" s="9">
        <f>J7*$E$49</f>
        <v>811.61121997359714</v>
      </c>
      <c r="K48" s="9">
        <f>K7*$E$49</f>
        <v>1177.5286062098353</v>
      </c>
    </row>
    <row r="49" spans="1:11" x14ac:dyDescent="0.2">
      <c r="A49" s="3" t="s">
        <v>19</v>
      </c>
      <c r="C49" s="7">
        <f>C48/C7</f>
        <v>5.4664195812867272E-2</v>
      </c>
      <c r="D49" s="7">
        <f>D48/D7</f>
        <v>5.4371687101782945E-2</v>
      </c>
      <c r="E49" s="7">
        <f>E48/E7</f>
        <v>5.994645825969707E-2</v>
      </c>
      <c r="F49" s="32"/>
      <c r="G49" s="7">
        <f>G48/G7</f>
        <v>5.994645825969707E-2</v>
      </c>
      <c r="H49" s="7">
        <f>H48/H7</f>
        <v>5.994645825969707E-2</v>
      </c>
      <c r="I49" s="7">
        <f>I48/I7</f>
        <v>5.9946458259697077E-2</v>
      </c>
      <c r="J49" s="7">
        <f>J48/J7</f>
        <v>5.9946458259697064E-2</v>
      </c>
      <c r="K49" s="7">
        <f>K48/K7</f>
        <v>5.994645825969707E-2</v>
      </c>
    </row>
    <row r="50" spans="1:11" x14ac:dyDescent="0.2">
      <c r="A50" s="4" t="s">
        <v>49</v>
      </c>
      <c r="C50" s="14">
        <f>SUM(C48,C44,C42)</f>
        <v>2447.5</v>
      </c>
      <c r="D50" s="14">
        <f>SUM(D48,D44,D42)</f>
        <v>3458.04</v>
      </c>
      <c r="E50" s="14">
        <f>SUM(E48,E44,E42)</f>
        <v>4506.28</v>
      </c>
      <c r="F50" s="32"/>
      <c r="G50" s="18">
        <f>SUM(G42,G44,G48)</f>
        <v>5960.3579888185686</v>
      </c>
      <c r="H50" s="8">
        <f t="shared" ref="H50:K50" si="50">SUM(H42,H44,H48)</f>
        <v>7905.74428085212</v>
      </c>
      <c r="I50" s="8">
        <f t="shared" si="50"/>
        <v>10517.229132673341</v>
      </c>
      <c r="J50" s="8">
        <f t="shared" si="50"/>
        <v>14035.121038092166</v>
      </c>
      <c r="K50" s="8">
        <f t="shared" si="50"/>
        <v>18791.007149315705</v>
      </c>
    </row>
    <row r="51" spans="1:11" x14ac:dyDescent="0.2">
      <c r="F51" s="32"/>
    </row>
    <row r="52" spans="1:11" x14ac:dyDescent="0.2">
      <c r="F52" s="32"/>
    </row>
    <row r="53" spans="1:11" x14ac:dyDescent="0.2">
      <c r="A53" s="11" t="s">
        <v>50</v>
      </c>
      <c r="F53" s="32"/>
    </row>
    <row r="54" spans="1:11" x14ac:dyDescent="0.2">
      <c r="A54" t="s">
        <v>51</v>
      </c>
      <c r="C54">
        <v>47.63</v>
      </c>
      <c r="D54">
        <v>45.37</v>
      </c>
      <c r="E54">
        <v>28.18</v>
      </c>
      <c r="F54" s="32"/>
      <c r="G54" s="9">
        <f>(G9/365)*$E$55</f>
        <v>40.885038681540941</v>
      </c>
      <c r="H54" s="9">
        <f>(H9/365)*$E$55</f>
        <v>59.318182682437865</v>
      </c>
      <c r="I54" s="9">
        <f>(I9/365)*$E$55</f>
        <v>86.061965702277647</v>
      </c>
      <c r="J54" s="9">
        <f>(J9/365)*$E$55</f>
        <v>124.86326461132262</v>
      </c>
      <c r="K54" s="9">
        <f>(K9/365)*$E$55</f>
        <v>181.1582471092054</v>
      </c>
    </row>
    <row r="55" spans="1:11" x14ac:dyDescent="0.2">
      <c r="A55" s="3" t="s">
        <v>52</v>
      </c>
      <c r="C55" s="12">
        <f>(C54/C9)*365</f>
        <v>45.365455873910548</v>
      </c>
      <c r="D55" s="12">
        <f>(D54/D9)*365</f>
        <v>27.543618914558486</v>
      </c>
      <c r="E55" s="12">
        <f>(E54/E9)*365</f>
        <v>13.610464193087386</v>
      </c>
      <c r="F55" s="32"/>
      <c r="G55" s="12">
        <f>E55</f>
        <v>13.610464193087386</v>
      </c>
      <c r="H55" s="12">
        <f>G55</f>
        <v>13.610464193087386</v>
      </c>
      <c r="I55" s="12">
        <f t="shared" ref="I55:K55" si="51">H55</f>
        <v>13.610464193087386</v>
      </c>
      <c r="J55" s="12">
        <f t="shared" si="51"/>
        <v>13.610464193087386</v>
      </c>
      <c r="K55" s="12">
        <f t="shared" si="51"/>
        <v>13.610464193087386</v>
      </c>
    </row>
    <row r="56" spans="1:11" x14ac:dyDescent="0.2">
      <c r="A56" t="s">
        <v>53</v>
      </c>
      <c r="C56" s="13">
        <v>1355.6</v>
      </c>
      <c r="D56" s="13">
        <v>2063.0500000000002</v>
      </c>
      <c r="E56" s="13">
        <v>2664.15</v>
      </c>
      <c r="F56" s="32"/>
      <c r="G56" s="9">
        <f>G7*$E$57</f>
        <v>3865.2901278718</v>
      </c>
      <c r="H56" s="9">
        <f>H7*$E$57</f>
        <v>5607.9679344718552</v>
      </c>
      <c r="I56" s="9">
        <f>I7*$E$57</f>
        <v>8136.3373288049352</v>
      </c>
      <c r="J56" s="9">
        <f>J7*$E$57</f>
        <v>11804.629752102743</v>
      </c>
      <c r="K56" s="9">
        <f>K7*$E$57</f>
        <v>17126.782967920146</v>
      </c>
    </row>
    <row r="57" spans="1:11" x14ac:dyDescent="0.2">
      <c r="A57" s="3" t="s">
        <v>19</v>
      </c>
      <c r="C57" s="7">
        <f>C56/C7</f>
        <v>0.93387251221074818</v>
      </c>
      <c r="D57" s="7">
        <f>D56/D7</f>
        <v>0.92049490460637873</v>
      </c>
      <c r="E57" s="7">
        <f>E56/E7</f>
        <v>0.87190236814201005</v>
      </c>
      <c r="F57" s="32"/>
      <c r="G57" s="7">
        <f>G56/G7</f>
        <v>0.87190236814201005</v>
      </c>
      <c r="H57" s="7">
        <f>H56/H7</f>
        <v>0.87190236814201005</v>
      </c>
      <c r="I57" s="7">
        <f>I56/I7</f>
        <v>0.87190236814201005</v>
      </c>
      <c r="J57" s="7">
        <f>J56/J7</f>
        <v>0.87190236814201005</v>
      </c>
      <c r="K57" s="7">
        <f>K56/K7</f>
        <v>0.87190236814201005</v>
      </c>
    </row>
    <row r="58" spans="1:11" x14ac:dyDescent="0.2">
      <c r="A58" s="4" t="s">
        <v>54</v>
      </c>
      <c r="C58" s="14">
        <f>SUM(C56,C54)</f>
        <v>1403.23</v>
      </c>
      <c r="D58" s="14">
        <f t="shared" ref="D58:E58" si="52">SUM(D56,D54)</f>
        <v>2108.42</v>
      </c>
      <c r="E58" s="14">
        <f t="shared" si="52"/>
        <v>2692.33</v>
      </c>
      <c r="F58" s="32"/>
      <c r="G58" s="18">
        <f>SUM(G54,G56)</f>
        <v>3906.1751665533411</v>
      </c>
      <c r="H58" s="8">
        <f t="shared" ref="H58:K58" si="53">SUM(H54,H56)</f>
        <v>5667.2861171542927</v>
      </c>
      <c r="I58" s="8">
        <f t="shared" si="53"/>
        <v>8222.3992945072132</v>
      </c>
      <c r="J58" s="8">
        <f t="shared" si="53"/>
        <v>11929.493016714065</v>
      </c>
      <c r="K58" s="8">
        <f t="shared" si="53"/>
        <v>17307.94121502935</v>
      </c>
    </row>
    <row r="59" spans="1:11" x14ac:dyDescent="0.2">
      <c r="F59" s="32"/>
    </row>
    <row r="60" spans="1:11" x14ac:dyDescent="0.2">
      <c r="A60" s="4" t="s">
        <v>55</v>
      </c>
      <c r="C60" s="14">
        <f>C50-C58</f>
        <v>1044.27</v>
      </c>
      <c r="D60" s="14">
        <f>D50-D58</f>
        <v>1349.62</v>
      </c>
      <c r="E60" s="14">
        <f>E50-E58</f>
        <v>1813.9499999999998</v>
      </c>
      <c r="F60" s="32"/>
      <c r="G60" s="18">
        <f>G50-G58</f>
        <v>2054.1828222652275</v>
      </c>
      <c r="H60" s="8">
        <f t="shared" ref="H60:K60" si="54">H50-H58</f>
        <v>2238.4581636978273</v>
      </c>
      <c r="I60" s="8">
        <f t="shared" si="54"/>
        <v>2294.829838166128</v>
      </c>
      <c r="J60" s="8">
        <f t="shared" si="54"/>
        <v>2105.628021378101</v>
      </c>
      <c r="K60" s="8">
        <f t="shared" si="54"/>
        <v>1483.0659342863546</v>
      </c>
    </row>
    <row r="61" spans="1:11" x14ac:dyDescent="0.2">
      <c r="A61" s="3" t="s">
        <v>19</v>
      </c>
      <c r="C61" s="7">
        <f>C60/C7</f>
        <v>0.71939735049152997</v>
      </c>
      <c r="D61" s="7">
        <f>D60/D7</f>
        <v>0.60217558137459626</v>
      </c>
      <c r="E61" s="7">
        <f>E60/E7</f>
        <v>0.59365550013745427</v>
      </c>
      <c r="F61" s="32"/>
      <c r="G61" s="7">
        <f>G60/G7</f>
        <v>0.46336673524577748</v>
      </c>
      <c r="H61" s="7">
        <f>H60/H7</f>
        <v>0.34802570141634714</v>
      </c>
      <c r="I61" s="7">
        <f>I60/I7</f>
        <v>0.24591747976037764</v>
      </c>
      <c r="J61" s="7">
        <f>J60/J7</f>
        <v>0.15552390009849437</v>
      </c>
      <c r="K61" s="7">
        <f>K60/K7</f>
        <v>7.5500968432721735E-2</v>
      </c>
    </row>
    <row r="62" spans="1:11" x14ac:dyDescent="0.2">
      <c r="F62" s="32"/>
    </row>
    <row r="63" spans="1:11" x14ac:dyDescent="0.2">
      <c r="A63" s="43" t="s">
        <v>56</v>
      </c>
      <c r="B63" s="43"/>
      <c r="C63" s="43"/>
      <c r="D63" s="44">
        <f>C60-D60</f>
        <v>-305.34999999999991</v>
      </c>
      <c r="E63" s="44">
        <f>D60-E60</f>
        <v>-464.32999999999993</v>
      </c>
      <c r="F63" s="45"/>
      <c r="G63" s="46">
        <f>E60-G60</f>
        <v>-240.2328222652277</v>
      </c>
      <c r="H63" s="46">
        <f>G60-H60</f>
        <v>-184.27534143259982</v>
      </c>
      <c r="I63" s="46">
        <f>H60-I60</f>
        <v>-56.371674468300625</v>
      </c>
      <c r="J63" s="46">
        <f>I60-J60</f>
        <v>189.20181678802692</v>
      </c>
      <c r="K63" s="46">
        <f>J60-K60</f>
        <v>622.56208709174643</v>
      </c>
    </row>
  </sheetData>
  <mergeCells count="4">
    <mergeCell ref="C3:E3"/>
    <mergeCell ref="G3:K3"/>
    <mergeCell ref="A1:F1"/>
    <mergeCell ref="A2:F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5289-8469-EF4B-A5C5-266919F91E2B}">
  <dimension ref="A1:K27"/>
  <sheetViews>
    <sheetView workbookViewId="0">
      <selection activeCell="G31" sqref="G31"/>
    </sheetView>
  </sheetViews>
  <sheetFormatPr baseColWidth="10" defaultColWidth="11" defaultRowHeight="16" x14ac:dyDescent="0.2"/>
  <cols>
    <col min="1" max="1" width="24.6640625" bestFit="1" customWidth="1"/>
    <col min="3" max="3" width="11" customWidth="1"/>
    <col min="5" max="5" width="23.6640625" bestFit="1" customWidth="1"/>
    <col min="7" max="7" width="18.33203125" bestFit="1" customWidth="1"/>
    <col min="8" max="8" width="16" bestFit="1" customWidth="1"/>
    <col min="9" max="9" width="15.1640625" bestFit="1" customWidth="1"/>
    <col min="10" max="10" width="13.1640625" customWidth="1"/>
  </cols>
  <sheetData>
    <row r="1" spans="1:10" ht="27" x14ac:dyDescent="0.35">
      <c r="A1" s="96" t="s">
        <v>0</v>
      </c>
      <c r="B1" s="97"/>
      <c r="C1" s="97"/>
      <c r="D1" s="97"/>
      <c r="E1" s="97"/>
      <c r="F1" s="98"/>
    </row>
    <row r="2" spans="1:10" x14ac:dyDescent="0.2">
      <c r="A2" s="99" t="s">
        <v>57</v>
      </c>
      <c r="B2" s="100"/>
      <c r="C2" s="100"/>
      <c r="D2" s="100"/>
      <c r="E2" s="100"/>
      <c r="F2" s="101"/>
    </row>
    <row r="4" spans="1:10" x14ac:dyDescent="0.2">
      <c r="A4" s="84" t="s">
        <v>58</v>
      </c>
      <c r="B4" s="2"/>
      <c r="C4" s="2"/>
      <c r="D4" s="2"/>
      <c r="E4" s="2"/>
      <c r="F4" s="2"/>
    </row>
    <row r="5" spans="1:10" x14ac:dyDescent="0.2">
      <c r="A5" s="11" t="s">
        <v>59</v>
      </c>
    </row>
    <row r="6" spans="1:10" x14ac:dyDescent="0.2">
      <c r="A6" t="s">
        <v>60</v>
      </c>
      <c r="C6">
        <v>792.9</v>
      </c>
    </row>
    <row r="7" spans="1:10" x14ac:dyDescent="0.2">
      <c r="A7" t="s">
        <v>61</v>
      </c>
      <c r="C7" s="13">
        <v>2337</v>
      </c>
    </row>
    <row r="8" spans="1:10" x14ac:dyDescent="0.2">
      <c r="A8" t="s">
        <v>62</v>
      </c>
      <c r="C8" s="5">
        <f>C6/C7</f>
        <v>0.33928112965340179</v>
      </c>
    </row>
    <row r="9" spans="1:10" x14ac:dyDescent="0.2">
      <c r="A9" t="s">
        <v>63</v>
      </c>
      <c r="C9" s="5">
        <f>C6/(C6+C7)</f>
        <v>0.25333077734112908</v>
      </c>
    </row>
    <row r="10" spans="1:10" x14ac:dyDescent="0.2">
      <c r="A10" t="s">
        <v>64</v>
      </c>
      <c r="C10" s="5">
        <f>C7/(C7+C6)</f>
        <v>0.74666922265887092</v>
      </c>
    </row>
    <row r="12" spans="1:10" x14ac:dyDescent="0.2">
      <c r="A12" s="11" t="s">
        <v>65</v>
      </c>
    </row>
    <row r="13" spans="1:10" x14ac:dyDescent="0.2">
      <c r="A13" t="s">
        <v>66</v>
      </c>
      <c r="C13" s="5">
        <v>7.1999999999999995E-2</v>
      </c>
    </row>
    <row r="14" spans="1:10" x14ac:dyDescent="0.2">
      <c r="A14" t="s">
        <v>67</v>
      </c>
      <c r="C14" s="5">
        <f>'CrowdStrike Financials'!S9</f>
        <v>0.22500000000000001</v>
      </c>
      <c r="E14" s="102" t="s">
        <v>68</v>
      </c>
      <c r="F14" s="102"/>
      <c r="G14" s="102"/>
      <c r="H14" s="102"/>
      <c r="I14" s="102"/>
      <c r="J14" s="102"/>
    </row>
    <row r="15" spans="1:10" ht="15.75" customHeight="1" x14ac:dyDescent="0.2">
      <c r="A15" s="52" t="s">
        <v>69</v>
      </c>
      <c r="C15" s="56">
        <f>C13*(1-C14)</f>
        <v>5.5799999999999995E-2</v>
      </c>
      <c r="E15" s="53"/>
      <c r="G15" s="54" t="s">
        <v>70</v>
      </c>
      <c r="H15" s="54" t="s">
        <v>71</v>
      </c>
      <c r="I15" s="54" t="s">
        <v>72</v>
      </c>
      <c r="J15" s="54" t="s">
        <v>73</v>
      </c>
    </row>
    <row r="16" spans="1:10" x14ac:dyDescent="0.2">
      <c r="E16" s="103" t="s">
        <v>73</v>
      </c>
      <c r="F16" s="103"/>
      <c r="G16">
        <v>1.22</v>
      </c>
      <c r="H16" s="5">
        <f>C8</f>
        <v>0.33928112965340179</v>
      </c>
      <c r="I16" s="5">
        <f>C14</f>
        <v>0.22500000000000001</v>
      </c>
      <c r="J16" s="55">
        <f>G16*(1+H16)*(1-I16)</f>
        <v>1.2662903080872914</v>
      </c>
    </row>
    <row r="17" spans="1:11" x14ac:dyDescent="0.2">
      <c r="A17" s="11" t="s">
        <v>74</v>
      </c>
    </row>
    <row r="18" spans="1:11" x14ac:dyDescent="0.2">
      <c r="A18" t="s">
        <v>75</v>
      </c>
      <c r="C18" s="5">
        <v>4.4499999999999998E-2</v>
      </c>
    </row>
    <row r="19" spans="1:11" x14ac:dyDescent="0.2">
      <c r="A19" t="s">
        <v>76</v>
      </c>
      <c r="C19" s="5">
        <v>5.5E-2</v>
      </c>
    </row>
    <row r="20" spans="1:11" x14ac:dyDescent="0.2">
      <c r="A20" t="s">
        <v>77</v>
      </c>
      <c r="C20" s="9">
        <f>J16</f>
        <v>1.2662903080872914</v>
      </c>
      <c r="E20" s="84" t="s">
        <v>78</v>
      </c>
      <c r="F20" s="84"/>
      <c r="G20" s="84"/>
      <c r="H20" s="84"/>
      <c r="I20" s="84"/>
      <c r="J20" s="84"/>
      <c r="K20" s="2"/>
    </row>
    <row r="21" spans="1:11" x14ac:dyDescent="0.2">
      <c r="A21" t="s">
        <v>79</v>
      </c>
      <c r="C21" s="5">
        <v>0.01</v>
      </c>
      <c r="F21" s="103" t="s">
        <v>80</v>
      </c>
      <c r="G21" s="103"/>
      <c r="H21" s="103"/>
      <c r="I21" s="103"/>
      <c r="J21" s="103"/>
      <c r="K21" s="103"/>
    </row>
    <row r="22" spans="1:11" ht="15.75" customHeight="1" x14ac:dyDescent="0.2">
      <c r="A22" s="52" t="s">
        <v>74</v>
      </c>
      <c r="C22" s="56">
        <f>C18+C20*(C19)+C21</f>
        <v>0.12414596694480103</v>
      </c>
      <c r="E22" s="104" t="s">
        <v>63</v>
      </c>
      <c r="F22" s="74">
        <f>(C22*C10)+((C13*(1-C14))*C9)</f>
        <v>0.10683183001054346</v>
      </c>
      <c r="G22" s="39">
        <f>H22-0.05</f>
        <v>-2.8000000000000011E-2</v>
      </c>
      <c r="H22" s="39">
        <f>I22-0.05</f>
        <v>2.1999999999999992E-2</v>
      </c>
      <c r="I22" s="39">
        <v>7.1999999999999995E-2</v>
      </c>
      <c r="J22" s="39">
        <f>I22+0.05</f>
        <v>0.122</v>
      </c>
      <c r="K22" s="39">
        <f>J22+0.05</f>
        <v>0.17199999999999999</v>
      </c>
    </row>
    <row r="23" spans="1:11" x14ac:dyDescent="0.2">
      <c r="E23" s="104"/>
      <c r="F23" s="57">
        <f>F24-0.05</f>
        <v>0.15330000000000005</v>
      </c>
      <c r="G23" s="5">
        <f t="dataTable" ref="G23:K27" dt2D="1" dtr="1" r1="C13" r2="C9"/>
        <v>8.9369362634908453E-2</v>
      </c>
      <c r="H23" s="5">
        <v>9.5309737634908465E-2</v>
      </c>
      <c r="I23" s="5">
        <v>0.10125011263490846</v>
      </c>
      <c r="J23" s="5">
        <v>0.10719048763490846</v>
      </c>
      <c r="K23" s="5">
        <v>0.11313086263490847</v>
      </c>
    </row>
    <row r="24" spans="1:11" x14ac:dyDescent="0.2">
      <c r="A24" s="4" t="s">
        <v>81</v>
      </c>
      <c r="C24" s="56">
        <f>(C22*C10)+(C15*C9)</f>
        <v>0.10683183001054346</v>
      </c>
      <c r="E24" s="104"/>
      <c r="F24" s="57">
        <f>F25-0.05</f>
        <v>0.20330000000000004</v>
      </c>
      <c r="G24" s="5">
        <v>8.8284362634908464E-2</v>
      </c>
      <c r="H24" s="5">
        <v>9.6162237634908457E-2</v>
      </c>
      <c r="I24" s="5">
        <v>0.10404011263490846</v>
      </c>
      <c r="J24" s="5">
        <v>0.11191798763490846</v>
      </c>
      <c r="K24" s="5">
        <v>0.11979586263490846</v>
      </c>
    </row>
    <row r="25" spans="1:11" ht="15.75" customHeight="1" x14ac:dyDescent="0.2">
      <c r="E25" s="104"/>
      <c r="F25" s="57">
        <v>0.25330000000000003</v>
      </c>
      <c r="G25" s="5">
        <v>8.7199362634908462E-2</v>
      </c>
      <c r="H25" s="5">
        <v>9.7014737634908463E-2</v>
      </c>
      <c r="I25" s="92">
        <v>0.10683011263490846</v>
      </c>
      <c r="J25" s="5">
        <v>0.11664548763490847</v>
      </c>
      <c r="K25" s="5">
        <v>0.12646086263490847</v>
      </c>
    </row>
    <row r="26" spans="1:11" x14ac:dyDescent="0.2">
      <c r="E26" s="104"/>
      <c r="F26" s="57">
        <f>F25+0.05</f>
        <v>0.30330000000000001</v>
      </c>
      <c r="G26" s="5">
        <v>8.6114362634908459E-2</v>
      </c>
      <c r="H26" s="5">
        <v>9.7867237634908455E-2</v>
      </c>
      <c r="I26" s="5">
        <v>0.10962011263490846</v>
      </c>
      <c r="J26" s="5">
        <v>0.12137298763490846</v>
      </c>
      <c r="K26" s="5">
        <v>0.13312586263490847</v>
      </c>
    </row>
    <row r="27" spans="1:11" x14ac:dyDescent="0.2">
      <c r="E27" s="104"/>
      <c r="F27" s="57">
        <f>F26+0.05</f>
        <v>0.3533</v>
      </c>
      <c r="G27" s="5">
        <v>8.5029362634908456E-2</v>
      </c>
      <c r="H27" s="5">
        <v>9.8719737634908461E-2</v>
      </c>
      <c r="I27" s="5">
        <v>0.11241011263490847</v>
      </c>
      <c r="J27" s="5">
        <v>0.12610048763490844</v>
      </c>
      <c r="K27" s="5">
        <v>0.13979086263490847</v>
      </c>
    </row>
  </sheetData>
  <mergeCells count="6">
    <mergeCell ref="A1:F1"/>
    <mergeCell ref="A2:F2"/>
    <mergeCell ref="E14:J14"/>
    <mergeCell ref="E16:F16"/>
    <mergeCell ref="E22:E27"/>
    <mergeCell ref="F21:K21"/>
  </mergeCells>
  <conditionalFormatting sqref="H24:J26">
    <cfRule type="cellIs" dxfId="3" priority="1" operator="notEqual">
      <formula>$I$25</formula>
    </cfRule>
    <cfRule type="cellIs" dxfId="2" priority="2" operator="equal">
      <formula>$I$25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CFDA-0315-4C21-9E0E-2E0A7A3CEB1B}">
  <dimension ref="A1:M55"/>
  <sheetViews>
    <sheetView tabSelected="1" workbookViewId="0">
      <selection activeCell="F7" sqref="F7"/>
    </sheetView>
  </sheetViews>
  <sheetFormatPr baseColWidth="10" defaultColWidth="8.83203125" defaultRowHeight="16" x14ac:dyDescent="0.2"/>
  <cols>
    <col min="2" max="2" width="9.5" bestFit="1" customWidth="1"/>
    <col min="3" max="3" width="7.83203125" bestFit="1" customWidth="1"/>
    <col min="6" max="6" width="9.5" bestFit="1" customWidth="1"/>
    <col min="9" max="9" width="9.6640625" customWidth="1"/>
    <col min="10" max="10" width="9.5" bestFit="1" customWidth="1"/>
    <col min="13" max="13" width="9.5" bestFit="1" customWidth="1"/>
  </cols>
  <sheetData>
    <row r="1" spans="1:13" ht="27" x14ac:dyDescent="0.35">
      <c r="A1" s="108" t="s">
        <v>0</v>
      </c>
      <c r="B1" s="108"/>
      <c r="C1" s="108"/>
      <c r="D1" s="108"/>
      <c r="E1" s="108"/>
      <c r="F1" s="108"/>
      <c r="G1" s="108"/>
    </row>
    <row r="2" spans="1:13" ht="15.75" customHeight="1" x14ac:dyDescent="0.2">
      <c r="A2" s="109" t="s">
        <v>82</v>
      </c>
      <c r="B2" s="109"/>
      <c r="C2" s="109"/>
      <c r="D2" s="109"/>
      <c r="E2" s="109"/>
      <c r="F2" s="109"/>
      <c r="G2" s="109"/>
    </row>
    <row r="4" spans="1:13" x14ac:dyDescent="0.2">
      <c r="A4" s="107" t="s">
        <v>83</v>
      </c>
      <c r="B4" s="107"/>
      <c r="C4" s="107"/>
      <c r="D4" s="107"/>
      <c r="E4" s="107"/>
      <c r="F4" s="107"/>
      <c r="H4" s="107" t="s">
        <v>84</v>
      </c>
      <c r="I4" s="107"/>
      <c r="J4" s="107"/>
      <c r="K4" s="107"/>
      <c r="L4" s="107"/>
      <c r="M4" s="107"/>
    </row>
    <row r="5" spans="1:13" x14ac:dyDescent="0.2">
      <c r="A5" t="s">
        <v>85</v>
      </c>
      <c r="F5" s="9">
        <f>'CrowdStrike Financials'!K19</f>
        <v>920.96275659562912</v>
      </c>
      <c r="H5" t="s">
        <v>86</v>
      </c>
      <c r="M5" s="9">
        <f>'CrowdStrike Financials'!K28</f>
        <v>1825.5669426481991</v>
      </c>
    </row>
    <row r="6" spans="1:13" x14ac:dyDescent="0.2">
      <c r="A6" t="s">
        <v>87</v>
      </c>
      <c r="F6" s="63" t="s">
        <v>115</v>
      </c>
      <c r="H6" t="s">
        <v>81</v>
      </c>
      <c r="M6" s="5">
        <f>'CrowdStrike WACC'!C24</f>
        <v>0.10683183001054346</v>
      </c>
    </row>
    <row r="7" spans="1:13" x14ac:dyDescent="0.2">
      <c r="A7" s="52" t="s">
        <v>89</v>
      </c>
      <c r="F7" s="61">
        <f>VALUE(LEFT(F6,LEN(F6)-1))*F5</f>
        <v>25786.957184677616</v>
      </c>
      <c r="H7" t="s">
        <v>90</v>
      </c>
      <c r="M7" s="5">
        <v>0.03</v>
      </c>
    </row>
    <row r="8" spans="1:13" x14ac:dyDescent="0.2">
      <c r="H8" s="52" t="s">
        <v>89</v>
      </c>
      <c r="M8" s="8">
        <f>(M5*(1+M7))/(M6-M7)</f>
        <v>24473.371917206852</v>
      </c>
    </row>
    <row r="9" spans="1:13" x14ac:dyDescent="0.2">
      <c r="A9" s="107" t="s">
        <v>91</v>
      </c>
      <c r="B9" s="107"/>
      <c r="C9" s="107"/>
      <c r="D9" s="107"/>
      <c r="E9" s="107"/>
      <c r="F9" s="107"/>
      <c r="H9" s="107" t="s">
        <v>92</v>
      </c>
      <c r="I9" s="107"/>
      <c r="J9" s="107"/>
      <c r="K9" s="107"/>
      <c r="L9" s="107"/>
      <c r="M9" s="107"/>
    </row>
    <row r="10" spans="1:13" x14ac:dyDescent="0.2">
      <c r="A10" t="s">
        <v>86</v>
      </c>
      <c r="F10" s="9">
        <f>'CrowdStrike Financials'!K28</f>
        <v>1825.5669426481991</v>
      </c>
      <c r="H10" t="s">
        <v>89</v>
      </c>
      <c r="M10" s="9">
        <f>M8</f>
        <v>24473.371917206852</v>
      </c>
    </row>
    <row r="11" spans="1:13" x14ac:dyDescent="0.2">
      <c r="A11" t="s">
        <v>93</v>
      </c>
      <c r="F11" s="5">
        <f>'CrowdStrike WACC'!C24</f>
        <v>0.10683183001054346</v>
      </c>
      <c r="H11" t="s">
        <v>85</v>
      </c>
      <c r="M11" s="9">
        <f>'CrowdStrike Financials'!K19</f>
        <v>920.96275659562912</v>
      </c>
    </row>
    <row r="12" spans="1:13" x14ac:dyDescent="0.2">
      <c r="A12" t="s">
        <v>89</v>
      </c>
      <c r="F12" s="58">
        <f>F7</f>
        <v>25786.957184677616</v>
      </c>
      <c r="H12" t="s">
        <v>81</v>
      </c>
      <c r="M12" s="5">
        <f>'CrowdStrike WACC'!C24</f>
        <v>0.10683183001054346</v>
      </c>
    </row>
    <row r="14" spans="1:13" x14ac:dyDescent="0.2">
      <c r="A14" s="52" t="s">
        <v>91</v>
      </c>
      <c r="F14" s="56">
        <f>((F12*F11)-F10*(1+F11)^0.5)/(F12+F10*(1+F11)^0.5)</f>
        <v>3.0109484787151291E-2</v>
      </c>
      <c r="H14" s="52" t="s">
        <v>92</v>
      </c>
      <c r="M14" s="65">
        <f>(M10*(1+M12)^0.5)/M11</f>
        <v>27.957128479541385</v>
      </c>
    </row>
    <row r="16" spans="1:13" x14ac:dyDescent="0.2">
      <c r="A16" s="107" t="s">
        <v>94</v>
      </c>
      <c r="B16" s="107"/>
      <c r="C16" s="107"/>
      <c r="D16" s="107"/>
      <c r="E16" s="107"/>
      <c r="F16" s="107"/>
      <c r="G16" s="107"/>
      <c r="H16" s="107"/>
      <c r="I16" s="107"/>
    </row>
    <row r="17" spans="1:13" x14ac:dyDescent="0.2">
      <c r="E17" s="106" t="s">
        <v>4</v>
      </c>
      <c r="F17" s="106"/>
      <c r="G17" s="106"/>
      <c r="H17" s="106"/>
      <c r="I17" s="106"/>
    </row>
    <row r="18" spans="1:13" x14ac:dyDescent="0.2">
      <c r="E18" s="93">
        <v>2025</v>
      </c>
      <c r="F18" s="93">
        <f>E18+1</f>
        <v>2026</v>
      </c>
      <c r="G18" s="93">
        <f t="shared" ref="G18:I18" si="0">F18+1</f>
        <v>2027</v>
      </c>
      <c r="H18" s="93">
        <f t="shared" si="0"/>
        <v>2028</v>
      </c>
      <c r="I18" s="93">
        <f t="shared" si="0"/>
        <v>2029</v>
      </c>
    </row>
    <row r="19" spans="1:13" x14ac:dyDescent="0.2">
      <c r="A19" s="4" t="s">
        <v>33</v>
      </c>
      <c r="E19" s="8">
        <f>'CrowdStrike Financials'!G28</f>
        <v>792.74341273248785</v>
      </c>
      <c r="F19" s="8">
        <f>'CrowdStrike Financials'!H28</f>
        <v>985.88701152539443</v>
      </c>
      <c r="G19" s="8">
        <f>'CrowdStrike Financials'!I28</f>
        <v>1219.3924033298536</v>
      </c>
      <c r="H19" s="8">
        <f>'CrowdStrike Financials'!J28</f>
        <v>1498.1703438556397</v>
      </c>
      <c r="I19" s="8">
        <f>'CrowdStrike Financials'!K28</f>
        <v>1825.5669426481991</v>
      </c>
    </row>
    <row r="20" spans="1:13" x14ac:dyDescent="0.2">
      <c r="A20" s="62" t="s">
        <v>81</v>
      </c>
      <c r="C20" s="56">
        <f>'CrowdStrike WACC'!C24</f>
        <v>0.10683183001054346</v>
      </c>
    </row>
    <row r="21" spans="1:13" x14ac:dyDescent="0.2">
      <c r="A21" s="62" t="s">
        <v>95</v>
      </c>
      <c r="E21" s="9">
        <v>0.5</v>
      </c>
      <c r="F21" s="9">
        <v>1.5</v>
      </c>
      <c r="G21" s="9">
        <v>2.5</v>
      </c>
      <c r="H21" s="59">
        <v>3.5</v>
      </c>
      <c r="I21" s="9">
        <v>4.5</v>
      </c>
    </row>
    <row r="22" spans="1:13" x14ac:dyDescent="0.2">
      <c r="A22" s="62" t="s">
        <v>96</v>
      </c>
      <c r="E22" s="9">
        <f>1/((1+$C$20)^(E21))</f>
        <v>0.95051544907604746</v>
      </c>
      <c r="F22" s="9">
        <f>1/((1+$C$20)^(F21))</f>
        <v>0.85877133572043463</v>
      </c>
      <c r="G22" s="9">
        <f>1/((1+$C$20)^(G21))</f>
        <v>0.77588239914662926</v>
      </c>
      <c r="H22" s="9">
        <f>1/((1+$C$20)^(H21))</f>
        <v>0.7009939343172289</v>
      </c>
      <c r="I22" s="9">
        <f>1/((1+$C$20)^(I21))</f>
        <v>0.63333373265074189</v>
      </c>
    </row>
    <row r="23" spans="1:13" x14ac:dyDescent="0.2">
      <c r="A23" s="52" t="s">
        <v>97</v>
      </c>
      <c r="E23" s="75">
        <f>E19*E22</f>
        <v>753.5148609554991</v>
      </c>
      <c r="F23" s="75">
        <f t="shared" ref="F23:I23" si="1">F19*F22</f>
        <v>846.65150575709049</v>
      </c>
      <c r="G23" s="75">
        <f t="shared" si="1"/>
        <v>946.10510339674101</v>
      </c>
      <c r="H23" s="75">
        <f t="shared" si="1"/>
        <v>1050.2083236167605</v>
      </c>
      <c r="I23" s="75">
        <f t="shared" si="1"/>
        <v>1156.1931259911867</v>
      </c>
    </row>
    <row r="25" spans="1:13" x14ac:dyDescent="0.2">
      <c r="A25" s="85" t="s">
        <v>89</v>
      </c>
      <c r="B25" s="85"/>
      <c r="C25" s="85"/>
      <c r="D25" s="85"/>
      <c r="E25" s="85"/>
      <c r="F25" s="85"/>
      <c r="G25" s="85"/>
      <c r="H25" s="85"/>
      <c r="I25" s="85"/>
    </row>
    <row r="26" spans="1:13" x14ac:dyDescent="0.2">
      <c r="A26" t="s">
        <v>85</v>
      </c>
      <c r="I26" s="9">
        <f>'CrowdStrike Financials'!K19</f>
        <v>920.96275659562912</v>
      </c>
    </row>
    <row r="27" spans="1:13" x14ac:dyDescent="0.2">
      <c r="A27" t="s">
        <v>87</v>
      </c>
      <c r="I27" s="76" t="str">
        <f>F6</f>
        <v>28x</v>
      </c>
    </row>
    <row r="28" spans="1:13" x14ac:dyDescent="0.2">
      <c r="A28" s="77" t="s">
        <v>89</v>
      </c>
      <c r="B28" s="68"/>
      <c r="C28" s="68"/>
      <c r="D28" s="68"/>
      <c r="E28" s="68"/>
      <c r="F28" s="68"/>
      <c r="G28" s="68"/>
      <c r="H28" s="68"/>
      <c r="I28" s="69">
        <f>VALUE(LEFT(I27,LEN(I27)-1))*I26</f>
        <v>25786.957184677616</v>
      </c>
    </row>
    <row r="29" spans="1:13" x14ac:dyDescent="0.2">
      <c r="A29" t="s">
        <v>96</v>
      </c>
      <c r="I29" s="9">
        <f>1/((1+C20)^5)</f>
        <v>0.60199349730552942</v>
      </c>
    </row>
    <row r="30" spans="1:13" x14ac:dyDescent="0.2">
      <c r="A30" s="77" t="s">
        <v>98</v>
      </c>
      <c r="B30" s="68"/>
      <c r="C30" s="68"/>
      <c r="D30" s="68"/>
      <c r="E30" s="68"/>
      <c r="F30" s="68"/>
      <c r="G30" s="68"/>
      <c r="H30" s="68"/>
      <c r="I30" s="78">
        <f>I28*I29</f>
        <v>15523.580540472027</v>
      </c>
    </row>
    <row r="32" spans="1:13" x14ac:dyDescent="0.2">
      <c r="A32" s="107" t="s">
        <v>99</v>
      </c>
      <c r="B32" s="107"/>
      <c r="C32" s="107"/>
      <c r="D32" s="107"/>
      <c r="E32" s="107"/>
      <c r="F32" s="107"/>
      <c r="H32" s="107" t="s">
        <v>100</v>
      </c>
      <c r="I32" s="107"/>
      <c r="J32" s="107"/>
      <c r="K32" s="107"/>
      <c r="L32" s="107"/>
      <c r="M32" s="107"/>
    </row>
    <row r="33" spans="1:13" x14ac:dyDescent="0.2">
      <c r="A33" s="4" t="s">
        <v>101</v>
      </c>
      <c r="F33" s="64">
        <f>SUM(E23:I23)</f>
        <v>4752.6729197172772</v>
      </c>
      <c r="H33" t="s">
        <v>99</v>
      </c>
      <c r="M33" s="9">
        <f>F43</f>
        <v>20276.253460189306</v>
      </c>
    </row>
    <row r="34" spans="1:13" x14ac:dyDescent="0.2">
      <c r="H34" t="s">
        <v>102</v>
      </c>
      <c r="M34">
        <f>'CrowdStrike WACC'!C6</f>
        <v>792.9</v>
      </c>
    </row>
    <row r="35" spans="1:13" x14ac:dyDescent="0.2">
      <c r="A35" s="20" t="s">
        <v>89</v>
      </c>
      <c r="B35" s="79"/>
      <c r="C35" s="79"/>
      <c r="D35" s="79"/>
      <c r="E35" s="79"/>
      <c r="F35" s="79"/>
      <c r="H35" t="s">
        <v>103</v>
      </c>
      <c r="M35" s="73" t="s">
        <v>37</v>
      </c>
    </row>
    <row r="36" spans="1:13" x14ac:dyDescent="0.2">
      <c r="A36" t="s">
        <v>85</v>
      </c>
      <c r="F36" s="9">
        <f>'CrowdStrike Financials'!K19</f>
        <v>920.96275659562912</v>
      </c>
      <c r="H36" t="s">
        <v>104</v>
      </c>
      <c r="M36" s="73">
        <v>33.139000000000003</v>
      </c>
    </row>
    <row r="37" spans="1:13" x14ac:dyDescent="0.2">
      <c r="A37" t="s">
        <v>87</v>
      </c>
      <c r="F37" s="76" t="str">
        <f>F6</f>
        <v>28x</v>
      </c>
      <c r="H37" t="s">
        <v>105</v>
      </c>
      <c r="M37" s="82">
        <v>3375</v>
      </c>
    </row>
    <row r="38" spans="1:13" x14ac:dyDescent="0.2">
      <c r="A38" s="52" t="s">
        <v>89</v>
      </c>
      <c r="F38" s="61">
        <f>VALUE(LEFT(F37,LEN(F37)-1))*F36</f>
        <v>25786.957184677616</v>
      </c>
    </row>
    <row r="39" spans="1:13" x14ac:dyDescent="0.2">
      <c r="A39" t="s">
        <v>96</v>
      </c>
      <c r="F39" s="9">
        <f>I29</f>
        <v>0.60199349730552942</v>
      </c>
      <c r="H39" s="4" t="s">
        <v>106</v>
      </c>
      <c r="M39" s="81">
        <f>M33-M34-M36+M37</f>
        <v>22825.214460189305</v>
      </c>
    </row>
    <row r="40" spans="1:13" x14ac:dyDescent="0.2">
      <c r="A40" s="52" t="s">
        <v>107</v>
      </c>
      <c r="F40" s="60">
        <f>F38*F39</f>
        <v>15523.580540472027</v>
      </c>
    </row>
    <row r="41" spans="1:13" x14ac:dyDescent="0.2">
      <c r="A41" s="80" t="s">
        <v>108</v>
      </c>
      <c r="F41" s="7">
        <f>I30/F43</f>
        <v>0.76560398946241492</v>
      </c>
      <c r="H41" s="107" t="s">
        <v>109</v>
      </c>
      <c r="I41" s="107"/>
      <c r="J41" s="107"/>
      <c r="K41" s="107"/>
      <c r="L41" s="107"/>
      <c r="M41" s="107"/>
    </row>
    <row r="42" spans="1:13" x14ac:dyDescent="0.2">
      <c r="H42" t="s">
        <v>99</v>
      </c>
      <c r="M42" s="9">
        <f>F43</f>
        <v>20276.253460189306</v>
      </c>
    </row>
    <row r="43" spans="1:13" x14ac:dyDescent="0.2">
      <c r="A43" s="4" t="s">
        <v>99</v>
      </c>
      <c r="F43" s="81">
        <f>F33+F40</f>
        <v>20276.253460189306</v>
      </c>
      <c r="H43" t="s">
        <v>110</v>
      </c>
      <c r="M43" s="9">
        <f>'CrowdStrike Financials'!G19</f>
        <v>207.8492065833058</v>
      </c>
    </row>
    <row r="45" spans="1:13" x14ac:dyDescent="0.2">
      <c r="H45" s="4" t="s">
        <v>109</v>
      </c>
      <c r="M45" s="83">
        <f>M42/M43</f>
        <v>97.552710416830962</v>
      </c>
    </row>
    <row r="47" spans="1:13" x14ac:dyDescent="0.2">
      <c r="A47" s="110" t="s">
        <v>99</v>
      </c>
      <c r="B47" s="110"/>
      <c r="C47" s="110"/>
      <c r="D47" s="110"/>
      <c r="E47" s="110"/>
      <c r="F47" s="110"/>
      <c r="G47" s="110"/>
    </row>
    <row r="48" spans="1:13" x14ac:dyDescent="0.2">
      <c r="A48" s="74">
        <v>19</v>
      </c>
      <c r="B48" s="103" t="s">
        <v>87</v>
      </c>
      <c r="C48" s="103"/>
      <c r="D48" s="103"/>
      <c r="E48" s="103"/>
      <c r="F48" s="103"/>
      <c r="G48" s="103"/>
    </row>
    <row r="49" spans="1:10" x14ac:dyDescent="0.2">
      <c r="A49" s="74">
        <v>0.10680000000000001</v>
      </c>
      <c r="C49" s="93" t="s">
        <v>111</v>
      </c>
      <c r="D49" s="93" t="s">
        <v>112</v>
      </c>
      <c r="E49" s="93" t="s">
        <v>88</v>
      </c>
      <c r="F49" s="93" t="s">
        <v>113</v>
      </c>
      <c r="G49" s="93" t="s">
        <v>114</v>
      </c>
      <c r="J49" s="9"/>
    </row>
    <row r="50" spans="1:10" ht="15.75" hidden="1" customHeight="1" x14ac:dyDescent="0.2">
      <c r="B50" s="9">
        <f>SUM(E23:I23) + (F36*A48)*(1/((1+C20)^5))</f>
        <v>15286.531143609009</v>
      </c>
      <c r="C50">
        <v>9</v>
      </c>
      <c r="D50">
        <v>14</v>
      </c>
      <c r="E50">
        <v>19</v>
      </c>
      <c r="F50">
        <v>24</v>
      </c>
      <c r="G50">
        <v>29</v>
      </c>
    </row>
    <row r="51" spans="1:10" x14ac:dyDescent="0.2">
      <c r="A51" s="105" t="s">
        <v>81</v>
      </c>
      <c r="B51" s="90">
        <f>B52-0.005</f>
        <v>9.6799999999999997E-2</v>
      </c>
      <c r="C51" s="88">
        <f t="dataTable" ref="C51:G55" dt2D="1" dtr="1" r1="A48" r2="C20"/>
        <v>10094.023391341352</v>
      </c>
      <c r="D51" s="89">
        <v>12995.204649782636</v>
      </c>
      <c r="E51" s="89">
        <v>15896.385908223918</v>
      </c>
      <c r="F51" s="89">
        <v>18797.567166665205</v>
      </c>
      <c r="G51" s="89">
        <v>21698.748425106489</v>
      </c>
    </row>
    <row r="52" spans="1:10" x14ac:dyDescent="0.2">
      <c r="A52" s="105"/>
      <c r="B52" s="90">
        <f>B53-0.005</f>
        <v>0.1018</v>
      </c>
      <c r="C52" s="86">
        <v>9916.5775988695204</v>
      </c>
      <c r="D52" s="87">
        <v>12752.525394064742</v>
      </c>
      <c r="E52" s="87">
        <v>15588.473189259959</v>
      </c>
      <c r="F52" s="87">
        <v>18424.420984455181</v>
      </c>
      <c r="G52" s="87">
        <v>21260.368779650402</v>
      </c>
    </row>
    <row r="53" spans="1:10" x14ac:dyDescent="0.2">
      <c r="A53" s="105"/>
      <c r="B53" s="90">
        <v>0.10680000000000001</v>
      </c>
      <c r="C53" s="86">
        <v>9743.4834929028002</v>
      </c>
      <c r="D53" s="87">
        <v>12515.950073353626</v>
      </c>
      <c r="E53" s="91">
        <v>15288.416653804448</v>
      </c>
      <c r="F53" s="87">
        <v>18060.883234255271</v>
      </c>
      <c r="G53" s="87">
        <v>20833.349814706096</v>
      </c>
    </row>
    <row r="54" spans="1:10" x14ac:dyDescent="0.2">
      <c r="A54" s="105"/>
      <c r="B54" s="90">
        <f>B53+0.005</f>
        <v>0.11180000000000001</v>
      </c>
      <c r="C54" s="86">
        <v>9574.6120683617919</v>
      </c>
      <c r="D54" s="87">
        <v>12285.295015608523</v>
      </c>
      <c r="E54" s="87">
        <v>14995.977962855251</v>
      </c>
      <c r="F54" s="87">
        <v>17706.660910101982</v>
      </c>
      <c r="G54" s="87">
        <v>20417.343857348711</v>
      </c>
    </row>
    <row r="55" spans="1:10" x14ac:dyDescent="0.2">
      <c r="A55" s="105"/>
      <c r="B55" s="90">
        <f>B54+0.005</f>
        <v>0.11680000000000001</v>
      </c>
      <c r="C55" s="86">
        <v>9409.8387489051365</v>
      </c>
      <c r="D55" s="87">
        <v>12060.382918019222</v>
      </c>
      <c r="E55" s="87">
        <v>14710.927087133308</v>
      </c>
      <c r="F55" s="87">
        <v>17361.471256247394</v>
      </c>
      <c r="G55" s="87">
        <v>20012.015425361482</v>
      </c>
    </row>
  </sheetData>
  <mergeCells count="14">
    <mergeCell ref="B48:G48"/>
    <mergeCell ref="A51:A55"/>
    <mergeCell ref="E17:I17"/>
    <mergeCell ref="A16:I16"/>
    <mergeCell ref="A1:G1"/>
    <mergeCell ref="A2:G2"/>
    <mergeCell ref="A4:F4"/>
    <mergeCell ref="A9:F9"/>
    <mergeCell ref="H4:M4"/>
    <mergeCell ref="H9:M9"/>
    <mergeCell ref="A32:F32"/>
    <mergeCell ref="H32:M32"/>
    <mergeCell ref="H41:M41"/>
    <mergeCell ref="A47:G47"/>
  </mergeCells>
  <conditionalFormatting sqref="D52:F54">
    <cfRule type="cellIs" dxfId="1" priority="1" operator="notEqual">
      <formula>$E$53</formula>
    </cfRule>
    <cfRule type="cellIs" dxfId="0" priority="2" operator="equal">
      <formula>$E$53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CrowdStrike Financials</vt:lpstr>
      <vt:lpstr>CrowdStrike WACC</vt:lpstr>
      <vt:lpstr>CrowdStrike DCF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 Pakel</dc:creator>
  <cp:keywords/>
  <dc:description/>
  <cp:lastModifiedBy>Brando Pakel</cp:lastModifiedBy>
  <cp:revision/>
  <dcterms:created xsi:type="dcterms:W3CDTF">2025-05-15T01:40:14Z</dcterms:created>
  <dcterms:modified xsi:type="dcterms:W3CDTF">2025-05-25T02:08:05Z</dcterms:modified>
  <cp:category/>
  <cp:contentStatus/>
</cp:coreProperties>
</file>