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nZitron\Documents\SFU\BUS312\Web\Assign\"/>
    </mc:Choice>
  </mc:AlternateContent>
  <bookViews>
    <workbookView xWindow="360" yWindow="216" windowWidth="6408" windowHeight="834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</workbook>
</file>

<file path=xl/calcChain.xml><?xml version="1.0" encoding="utf-8"?>
<calcChain xmlns="http://schemas.openxmlformats.org/spreadsheetml/2006/main">
  <c r="B23" i="1" l="1"/>
  <c r="B24" i="1"/>
  <c r="C24" i="1"/>
  <c r="D24" i="1"/>
  <c r="E24" i="1"/>
  <c r="F24" i="1"/>
  <c r="G24" i="1"/>
  <c r="H24" i="1"/>
  <c r="I24" i="1"/>
  <c r="J24" i="1"/>
  <c r="K24" i="1"/>
  <c r="L24" i="1"/>
  <c r="M24" i="1"/>
  <c r="B25" i="1"/>
  <c r="C25" i="1"/>
  <c r="D25" i="1"/>
  <c r="E25" i="1"/>
  <c r="F25" i="1"/>
  <c r="G25" i="1"/>
  <c r="H25" i="1"/>
  <c r="I25" i="1"/>
  <c r="J25" i="1"/>
  <c r="K25" i="1"/>
  <c r="L25" i="1"/>
  <c r="M25" i="1"/>
  <c r="B27" i="1"/>
  <c r="C27" i="1"/>
  <c r="D27" i="1"/>
  <c r="E27" i="1"/>
  <c r="F27" i="1"/>
  <c r="G27" i="1"/>
  <c r="H27" i="1"/>
  <c r="I27" i="1"/>
  <c r="J27" i="1"/>
  <c r="K27" i="1"/>
  <c r="L27" i="1"/>
  <c r="M27" i="1"/>
  <c r="B30" i="1"/>
  <c r="B26" i="1" s="1"/>
  <c r="B28" i="1" s="1"/>
  <c r="C23" i="1" s="1"/>
  <c r="C30" i="1"/>
  <c r="C26" i="1" s="1"/>
  <c r="D30" i="1"/>
  <c r="D26" i="1" s="1"/>
  <c r="E30" i="1"/>
  <c r="E26" i="1" s="1"/>
  <c r="F30" i="1"/>
  <c r="F26" i="1" s="1"/>
  <c r="G30" i="1"/>
  <c r="G26" i="1" s="1"/>
  <c r="H30" i="1"/>
  <c r="H26" i="1" s="1"/>
  <c r="I30" i="1"/>
  <c r="I26" i="1" s="1"/>
  <c r="J30" i="1"/>
  <c r="J26" i="1" s="1"/>
  <c r="K30" i="1"/>
  <c r="K26" i="1" s="1"/>
  <c r="L30" i="1"/>
  <c r="L26" i="1" s="1"/>
  <c r="M30" i="1"/>
  <c r="M26" i="1" s="1"/>
  <c r="B34" i="1"/>
  <c r="B37" i="1" s="1"/>
  <c r="E34" i="1"/>
  <c r="H34" i="1"/>
  <c r="I34" i="1"/>
  <c r="B35" i="1"/>
  <c r="E35" i="1"/>
  <c r="F35" i="1"/>
  <c r="B36" i="1"/>
  <c r="E36" i="1"/>
  <c r="B38" i="1"/>
  <c r="E38" i="1"/>
  <c r="F38" i="1"/>
  <c r="H38" i="1"/>
  <c r="E39" i="1"/>
  <c r="H39" i="1"/>
  <c r="B49" i="1"/>
  <c r="B58" i="1"/>
  <c r="B60" i="1"/>
  <c r="B63" i="1" s="1"/>
  <c r="B69" i="1"/>
  <c r="B71" i="1" s="1"/>
  <c r="B73" i="1" s="1"/>
  <c r="C69" i="1"/>
  <c r="D69" i="1"/>
  <c r="D71" i="1" s="1"/>
  <c r="D73" i="1" s="1"/>
  <c r="C71" i="1"/>
  <c r="C73" i="1" s="1"/>
  <c r="B72" i="1"/>
  <c r="B86" i="1" s="1"/>
  <c r="C72" i="1"/>
  <c r="D72" i="1"/>
  <c r="D86" i="1" s="1"/>
  <c r="B82" i="1"/>
  <c r="C82" i="1"/>
  <c r="D82" i="1"/>
  <c r="B83" i="1"/>
  <c r="C83" i="1"/>
  <c r="C87" i="1" s="1"/>
  <c r="D83" i="1"/>
  <c r="C84" i="1"/>
  <c r="D84" i="1"/>
  <c r="D87" i="1" s="1"/>
  <c r="C86" i="1"/>
  <c r="C89" i="1"/>
  <c r="B92" i="1"/>
  <c r="C92" i="1"/>
  <c r="D92" i="1"/>
  <c r="C28" i="1" l="1"/>
  <c r="D23" i="1" s="1"/>
  <c r="D28" i="1" s="1"/>
  <c r="E23" i="1" s="1"/>
  <c r="E28" i="1" s="1"/>
  <c r="F23" i="1" s="1"/>
  <c r="F28" i="1" s="1"/>
  <c r="G23" i="1" s="1"/>
  <c r="G28" i="1" s="1"/>
  <c r="H23" i="1" s="1"/>
  <c r="H28" i="1" s="1"/>
  <c r="I23" i="1" s="1"/>
  <c r="I28" i="1" s="1"/>
  <c r="J23" i="1" s="1"/>
  <c r="J28" i="1" s="1"/>
  <c r="K23" i="1" s="1"/>
  <c r="K28" i="1" s="1"/>
  <c r="L23" i="1" s="1"/>
  <c r="L28" i="1" s="1"/>
  <c r="M23" i="1" s="1"/>
  <c r="M28" i="1" s="1"/>
  <c r="F34" i="1" s="1"/>
  <c r="F39" i="1" s="1"/>
  <c r="B39" i="1"/>
  <c r="B41" i="1" s="1"/>
  <c r="B43" i="1" s="1"/>
  <c r="B45" i="1" s="1"/>
  <c r="I38" i="1" s="1"/>
  <c r="I39" i="1" s="1"/>
  <c r="B50" i="1"/>
  <c r="B84" i="1"/>
  <c r="B87" i="1" s="1"/>
  <c r="D89" i="1"/>
  <c r="B89" i="1"/>
  <c r="D76" i="1" l="1"/>
  <c r="D96" i="1"/>
  <c r="C76" i="1"/>
  <c r="B96" i="1"/>
  <c r="C96" i="1"/>
  <c r="B76" i="1"/>
  <c r="C74" i="1"/>
  <c r="C75" i="1"/>
  <c r="C77" i="1"/>
  <c r="C79" i="1"/>
  <c r="C95" i="1"/>
  <c r="C90" i="1"/>
  <c r="B77" i="1"/>
  <c r="B79" i="1"/>
  <c r="B95" i="1"/>
  <c r="B90" i="1"/>
  <c r="B74" i="1"/>
  <c r="B75" i="1"/>
  <c r="D74" i="1"/>
  <c r="D75" i="1"/>
  <c r="D77" i="1"/>
  <c r="D79" i="1"/>
  <c r="D95" i="1"/>
  <c r="D90" i="1"/>
</calcChain>
</file>

<file path=xl/sharedStrings.xml><?xml version="1.0" encoding="utf-8"?>
<sst xmlns="http://schemas.openxmlformats.org/spreadsheetml/2006/main" count="94" uniqueCount="76">
  <si>
    <t>Question #1</t>
  </si>
  <si>
    <t>Start AR</t>
  </si>
  <si>
    <t>Start AP</t>
  </si>
  <si>
    <t>Start Cash</t>
  </si>
  <si>
    <t>Inventory</t>
  </si>
  <si>
    <t>Equity</t>
  </si>
  <si>
    <t>NFA</t>
  </si>
  <si>
    <t>COGS</t>
  </si>
  <si>
    <t>of sales</t>
  </si>
  <si>
    <t>Other</t>
  </si>
  <si>
    <t>sales</t>
  </si>
  <si>
    <t>Lease</t>
  </si>
  <si>
    <t>per year</t>
  </si>
  <si>
    <t>Dep</t>
  </si>
  <si>
    <t>for the year</t>
  </si>
  <si>
    <t>Deferal</t>
  </si>
  <si>
    <t>month</t>
  </si>
  <si>
    <t>% cash 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</si>
  <si>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</si>
  <si>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</si>
  <si>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</si>
  <si>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</si>
  <si>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</si>
  <si>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</si>
  <si>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</si>
  <si>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</si>
  <si>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</si>
  <si>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</si>
  <si>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</si>
  <si>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</si>
  <si>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Projected sales</t>
  </si>
  <si>
    <t>Start cash</t>
  </si>
  <si>
    <t>Cash out pur</t>
  </si>
  <si>
    <t>Cash out other</t>
  </si>
  <si>
    <t>Cash in sales</t>
  </si>
  <si>
    <t>Cash out lease</t>
  </si>
  <si>
    <t>End cash</t>
  </si>
  <si>
    <t>Open AR</t>
  </si>
  <si>
    <t>Question #2</t>
  </si>
  <si>
    <t>Revenue</t>
  </si>
  <si>
    <t>Cash</t>
  </si>
  <si>
    <t>AP</t>
  </si>
  <si>
    <t>AR</t>
  </si>
  <si>
    <t>Other expenses</t>
  </si>
  <si>
    <t>EBITDA</t>
  </si>
  <si>
    <t>EBIT</t>
  </si>
  <si>
    <t>Int</t>
  </si>
  <si>
    <t>EBT</t>
  </si>
  <si>
    <t>Tax</t>
  </si>
  <si>
    <t>NI</t>
  </si>
  <si>
    <t>Div</t>
  </si>
  <si>
    <t>To ret earn</t>
  </si>
  <si>
    <t>Question #3</t>
  </si>
  <si>
    <t>ROIC</t>
  </si>
  <si>
    <t>Question #4</t>
  </si>
  <si>
    <t>EBITDA Margin</t>
  </si>
  <si>
    <t>BE sales</t>
  </si>
  <si>
    <t>CM/$  =  DOL  *  EBITDA Margin</t>
  </si>
  <si>
    <t>CM/$ * BE = FC</t>
  </si>
  <si>
    <t>Fixed costs</t>
  </si>
  <si>
    <t>DOL = [CM/$ * Sales / (CM/$ * Sales - FC)]</t>
  </si>
  <si>
    <t>Therefore Sales</t>
  </si>
  <si>
    <t>Question #5</t>
  </si>
  <si>
    <t>Sales</t>
  </si>
  <si>
    <t>dep</t>
  </si>
  <si>
    <t>int</t>
  </si>
  <si>
    <t>Dividends</t>
  </si>
  <si>
    <t>To retained earn</t>
  </si>
  <si>
    <t>Total</t>
  </si>
  <si>
    <t>STD</t>
  </si>
  <si>
    <t>LTD</t>
  </si>
  <si>
    <t>Common Stock</t>
  </si>
  <si>
    <t>Retained earnings</t>
  </si>
  <si>
    <t>BUS312 Assignment #3</t>
  </si>
  <si>
    <t>IC Dec 2007</t>
  </si>
  <si>
    <t>2006 DOL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</si>
</sst>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Arial"/>
      <family val="2"/>
    </font>
    <font>
      <b/>
      <sz val="10"/>
      <color indexed="17"/>
      <name val="Arial"/>
      <family val="2"/>
    </font>
    <font>
      <b/>
      <sz val="10"/>
      <color indexed="17"/>
      <name val="Arial"/>
      <family val="2"/>
    </font>
    <font>
      <b/>
      <sz val="10"/>
      <name val="Arial"/>
      <family val="2"/>
    </font>
    <font>
      <b/>
      <u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0" applyNumberFormat="1"/>
    <xf numFmtId="10" fontId="0" fillId="0" borderId="0" xfId="1" applyNumberFormat="1" applyFont="1"/>
    <xf numFmtId="0" fontId="2" fillId="0" borderId="0" xfId="0" applyFont="1"/>
    <xf numFmtId="9" fontId="2" fillId="0" borderId="0" xfId="0" applyNumberFormat="1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tabSelected="1" workbookViewId="0"/>
  </sheetViews>
  <sheetFormatPr defaultRowHeight="13.2" x14ac:dyDescent="0.25"/>
  <cols>
    <col min="1" max="1" width="18.6640625" customWidth="1"/>
  </cols>
  <sheetData>
    <row r="1" spans="1:3" ht="17.399999999999999" x14ac:dyDescent="0.3">
      <c r="A1" s="8" t="s">
        <v>73</v>
      </c>
    </row>
    <row r="3" spans="1:3" x14ac:dyDescent="0.25">
      <c r="A3" s="7" t="s">
        <v>0</v>
      </c>
    </row>
    <row r="5" spans="1:3" x14ac:dyDescent="0.25">
      <c r="A5" t="s">
        <v>1</v>
      </c>
      <c r="B5" s="3">
        <v>184</v>
      </c>
    </row>
    <row r="6" spans="1:3" x14ac:dyDescent="0.25">
      <c r="A6" t="s">
        <v>2</v>
      </c>
      <c r="B6" s="3">
        <v>173</v>
      </c>
    </row>
    <row r="7" spans="1:3" x14ac:dyDescent="0.25">
      <c r="A7" t="s">
        <v>3</v>
      </c>
      <c r="B7" s="3">
        <v>65</v>
      </c>
    </row>
    <row r="8" spans="1:3" x14ac:dyDescent="0.25">
      <c r="A8" t="s">
        <v>4</v>
      </c>
      <c r="B8" s="3">
        <v>50</v>
      </c>
    </row>
    <row r="9" spans="1:3" x14ac:dyDescent="0.25">
      <c r="A9" t="s">
        <v>5</v>
      </c>
      <c r="B9" s="3">
        <v>457</v>
      </c>
    </row>
    <row r="10" spans="1:3" x14ac:dyDescent="0.25">
      <c r="A10" t="s">
        <v>6</v>
      </c>
      <c r="B10" s="3">
        <v>331</v>
      </c>
    </row>
    <row r="11" spans="1:3" x14ac:dyDescent="0.25">
      <c r="A11" t="s">
        <v>7</v>
      </c>
      <c r="B11" s="4">
        <v>0.76</v>
      </c>
      <c r="C11" t="s">
        <v>8</v>
      </c>
    </row>
    <row r="12" spans="1:3" x14ac:dyDescent="0.25">
      <c r="A12" t="s">
        <v>9</v>
      </c>
      <c r="B12" s="4">
        <v>0.2</v>
      </c>
      <c r="C12" t="s">
        <v>10</v>
      </c>
    </row>
    <row r="13" spans="1:3" x14ac:dyDescent="0.25">
      <c r="A13" t="s">
        <v>11</v>
      </c>
      <c r="B13" s="3">
        <v>18</v>
      </c>
      <c r="C13" t="s">
        <v>12</v>
      </c>
    </row>
    <row r="14" spans="1:3" x14ac:dyDescent="0.25">
      <c r="A14" t="s">
        <v>13</v>
      </c>
      <c r="B14" s="3">
        <v>12</v>
      </c>
      <c r="C14" t="s">
        <v>14</v>
      </c>
    </row>
    <row r="15" spans="1:3" x14ac:dyDescent="0.25">
      <c r="A15" t="s">
        <v>15</v>
      </c>
      <c r="B15" s="3">
        <v>1</v>
      </c>
      <c r="C15" t="s">
        <v>16</v>
      </c>
    </row>
    <row r="16" spans="1:3" x14ac:dyDescent="0.25">
      <c r="A16" t="s">
        <v>17</v>
      </c>
      <c r="B16" s="4">
        <v>0.12</v>
      </c>
    </row>
    <row r="21" spans="1:13" x14ac:dyDescent="0.25">
      <c r="B21" t="s">
        <v>18</v>
      </c>
      <c r="C21" t="s">
        <v>19</v>
      </c>
      <c r="D21" t="s">
        <v>20</v>
      </c>
      <c r="E21" t="s">
        <v>21</v>
      </c>
      <c r="F21" t="s">
        <v>22</v>
      </c>
      <c r="G21" t="s">
        <v>23</v>
      </c>
      <c r="H21" t="s">
        <v>24</v>
      </c>
      <c r="I21" t="s">
        <v>25</v>
      </c>
      <c r="J21" t="s">
        <v>26</v>
      </c>
      <c r="K21" t="s">
        <v>27</v>
      </c>
      <c r="L21" t="s">
        <v>28</v>
      </c>
      <c r="M21" t="s">
        <v>29</v>
      </c>
    </row>
    <row r="22" spans="1:13" x14ac:dyDescent="0.25">
      <c r="A22" t="s">
        <v>30</v>
      </c>
      <c r="B22" s="5">
        <v>190</v>
      </c>
      <c r="C22" s="5">
        <v>150</v>
      </c>
      <c r="D22" s="5">
        <v>110</v>
      </c>
      <c r="E22" s="5">
        <v>70</v>
      </c>
      <c r="F22" s="5">
        <v>70</v>
      </c>
      <c r="G22" s="5">
        <v>30</v>
      </c>
      <c r="H22" s="5">
        <v>30</v>
      </c>
      <c r="I22" s="5">
        <v>55</v>
      </c>
      <c r="J22" s="5">
        <v>90</v>
      </c>
      <c r="K22" s="5">
        <v>105</v>
      </c>
      <c r="L22" s="5">
        <v>165</v>
      </c>
      <c r="M22" s="5">
        <v>210</v>
      </c>
    </row>
    <row r="23" spans="1:13" x14ac:dyDescent="0.25">
      <c r="A23" t="s">
        <v>31</v>
      </c>
      <c r="B23">
        <f>B7</f>
        <v>65</v>
      </c>
      <c r="C23">
        <f t="shared" ref="C23:M23" si="0">B28</f>
        <v>59.300000000000011</v>
      </c>
      <c r="D23">
        <f t="shared" si="0"/>
        <v>68.599999999999994</v>
      </c>
      <c r="E23">
        <f t="shared" si="0"/>
        <v>76.299999999999983</v>
      </c>
      <c r="F23">
        <f t="shared" si="0"/>
        <v>82.399999999999991</v>
      </c>
      <c r="G23">
        <f t="shared" si="0"/>
        <v>83.699999999999989</v>
      </c>
      <c r="H23">
        <f t="shared" si="0"/>
        <v>88.199999999999989</v>
      </c>
      <c r="I23">
        <f t="shared" si="0"/>
        <v>87.899999999999991</v>
      </c>
      <c r="J23">
        <f t="shared" si="0"/>
        <v>85.6</v>
      </c>
      <c r="K23">
        <f t="shared" si="0"/>
        <v>83.5</v>
      </c>
      <c r="L23">
        <f t="shared" si="0"/>
        <v>84.399999999999991</v>
      </c>
      <c r="M23">
        <f t="shared" si="0"/>
        <v>82.3</v>
      </c>
    </row>
    <row r="24" spans="1:13" x14ac:dyDescent="0.25">
      <c r="A24" t="s">
        <v>32</v>
      </c>
      <c r="B24">
        <f>B6</f>
        <v>173</v>
      </c>
      <c r="C24">
        <f>$B$11*B22</f>
        <v>144.4</v>
      </c>
      <c r="D24">
        <f t="shared" ref="D24:M24" si="1">$B$11*C22</f>
        <v>114</v>
      </c>
      <c r="E24">
        <f t="shared" si="1"/>
        <v>83.6</v>
      </c>
      <c r="F24">
        <f t="shared" si="1"/>
        <v>53.2</v>
      </c>
      <c r="G24">
        <f t="shared" si="1"/>
        <v>53.2</v>
      </c>
      <c r="H24">
        <f t="shared" si="1"/>
        <v>22.8</v>
      </c>
      <c r="I24">
        <f t="shared" si="1"/>
        <v>22.8</v>
      </c>
      <c r="J24">
        <f t="shared" si="1"/>
        <v>41.8</v>
      </c>
      <c r="K24">
        <f t="shared" si="1"/>
        <v>68.400000000000006</v>
      </c>
      <c r="L24">
        <f t="shared" si="1"/>
        <v>79.8</v>
      </c>
      <c r="M24">
        <f t="shared" si="1"/>
        <v>125.4</v>
      </c>
    </row>
    <row r="25" spans="1:13" x14ac:dyDescent="0.25">
      <c r="A25" t="s">
        <v>33</v>
      </c>
      <c r="B25">
        <f>$B$12*B22</f>
        <v>38</v>
      </c>
      <c r="C25">
        <f t="shared" ref="C25:M25" si="2">$B$12*C22</f>
        <v>30</v>
      </c>
      <c r="D25">
        <f t="shared" si="2"/>
        <v>22</v>
      </c>
      <c r="E25">
        <f t="shared" si="2"/>
        <v>14</v>
      </c>
      <c r="F25">
        <f t="shared" si="2"/>
        <v>14</v>
      </c>
      <c r="G25">
        <f t="shared" si="2"/>
        <v>6</v>
      </c>
      <c r="H25">
        <f t="shared" si="2"/>
        <v>6</v>
      </c>
      <c r="I25">
        <f t="shared" si="2"/>
        <v>11</v>
      </c>
      <c r="J25">
        <f t="shared" si="2"/>
        <v>18</v>
      </c>
      <c r="K25">
        <f t="shared" si="2"/>
        <v>21</v>
      </c>
      <c r="L25">
        <f t="shared" si="2"/>
        <v>33</v>
      </c>
      <c r="M25">
        <f t="shared" si="2"/>
        <v>42</v>
      </c>
    </row>
    <row r="26" spans="1:13" x14ac:dyDescent="0.25">
      <c r="A26" t="s">
        <v>34</v>
      </c>
      <c r="B26">
        <f>$B$16*B22+B30</f>
        <v>206.8</v>
      </c>
      <c r="C26">
        <f t="shared" ref="C26:M26" si="3">$B$16*C22+C30</f>
        <v>185.2</v>
      </c>
      <c r="D26">
        <f t="shared" si="3"/>
        <v>145.19999999999999</v>
      </c>
      <c r="E26">
        <f t="shared" si="3"/>
        <v>105.2</v>
      </c>
      <c r="F26">
        <f t="shared" si="3"/>
        <v>70</v>
      </c>
      <c r="G26">
        <f t="shared" si="3"/>
        <v>65.2</v>
      </c>
      <c r="H26">
        <f t="shared" si="3"/>
        <v>30</v>
      </c>
      <c r="I26">
        <f t="shared" si="3"/>
        <v>33</v>
      </c>
      <c r="J26">
        <f t="shared" si="3"/>
        <v>59.199999999999996</v>
      </c>
      <c r="K26">
        <f t="shared" si="3"/>
        <v>91.8</v>
      </c>
      <c r="L26">
        <f t="shared" si="3"/>
        <v>112.2</v>
      </c>
      <c r="M26">
        <f t="shared" si="3"/>
        <v>170.39999999999998</v>
      </c>
    </row>
    <row r="27" spans="1:13" x14ac:dyDescent="0.25">
      <c r="A27" t="s">
        <v>35</v>
      </c>
      <c r="B27">
        <f>$B$13/12</f>
        <v>1.5</v>
      </c>
      <c r="C27">
        <f t="shared" ref="C27:M27" si="4">$B$13/12</f>
        <v>1.5</v>
      </c>
      <c r="D27">
        <f t="shared" si="4"/>
        <v>1.5</v>
      </c>
      <c r="E27">
        <f t="shared" si="4"/>
        <v>1.5</v>
      </c>
      <c r="F27">
        <f t="shared" si="4"/>
        <v>1.5</v>
      </c>
      <c r="G27">
        <f t="shared" si="4"/>
        <v>1.5</v>
      </c>
      <c r="H27">
        <f t="shared" si="4"/>
        <v>1.5</v>
      </c>
      <c r="I27">
        <f t="shared" si="4"/>
        <v>1.5</v>
      </c>
      <c r="J27">
        <f t="shared" si="4"/>
        <v>1.5</v>
      </c>
      <c r="K27">
        <f t="shared" si="4"/>
        <v>1.5</v>
      </c>
      <c r="L27">
        <f t="shared" si="4"/>
        <v>1.5</v>
      </c>
      <c r="M27">
        <f t="shared" si="4"/>
        <v>1.5</v>
      </c>
    </row>
    <row r="28" spans="1:13" x14ac:dyDescent="0.25">
      <c r="A28" t="s">
        <v>36</v>
      </c>
      <c r="B28">
        <f>B23-B24+B26-B27-B25</f>
        <v>59.300000000000011</v>
      </c>
      <c r="C28">
        <f t="shared" ref="C28:M28" si="5">C23-C24+C26-C27-C25</f>
        <v>68.599999999999994</v>
      </c>
      <c r="D28">
        <f t="shared" si="5"/>
        <v>76.299999999999983</v>
      </c>
      <c r="E28">
        <f t="shared" si="5"/>
        <v>82.399999999999991</v>
      </c>
      <c r="F28">
        <f t="shared" si="5"/>
        <v>83.699999999999989</v>
      </c>
      <c r="G28">
        <f t="shared" si="5"/>
        <v>88.199999999999989</v>
      </c>
      <c r="H28">
        <f t="shared" si="5"/>
        <v>87.899999999999991</v>
      </c>
      <c r="I28">
        <f t="shared" si="5"/>
        <v>85.6</v>
      </c>
      <c r="J28">
        <f t="shared" si="5"/>
        <v>83.5</v>
      </c>
      <c r="K28">
        <f t="shared" si="5"/>
        <v>84.399999999999991</v>
      </c>
      <c r="L28">
        <f t="shared" si="5"/>
        <v>82.3</v>
      </c>
      <c r="M28">
        <f t="shared" si="5"/>
        <v>83.799999999999969</v>
      </c>
    </row>
    <row r="30" spans="1:13" x14ac:dyDescent="0.25">
      <c r="A30" t="s">
        <v>37</v>
      </c>
      <c r="B30">
        <f>B5</f>
        <v>184</v>
      </c>
      <c r="C30">
        <f>(1-$B$16)*B22</f>
        <v>167.2</v>
      </c>
      <c r="D30">
        <f t="shared" ref="D30:M30" si="6">(1-$B$16)*C22</f>
        <v>132</v>
      </c>
      <c r="E30">
        <f t="shared" si="6"/>
        <v>96.8</v>
      </c>
      <c r="F30">
        <f t="shared" si="6"/>
        <v>61.6</v>
      </c>
      <c r="G30">
        <f t="shared" si="6"/>
        <v>61.6</v>
      </c>
      <c r="H30">
        <f t="shared" si="6"/>
        <v>26.4</v>
      </c>
      <c r="I30">
        <f t="shared" si="6"/>
        <v>26.4</v>
      </c>
      <c r="J30">
        <f t="shared" si="6"/>
        <v>48.4</v>
      </c>
      <c r="K30">
        <f t="shared" si="6"/>
        <v>79.2</v>
      </c>
      <c r="L30">
        <f t="shared" si="6"/>
        <v>92.4</v>
      </c>
      <c r="M30">
        <f t="shared" si="6"/>
        <v>145.19999999999999</v>
      </c>
    </row>
    <row r="32" spans="1:13" x14ac:dyDescent="0.25">
      <c r="A32" s="7" t="s">
        <v>38</v>
      </c>
    </row>
    <row r="34" spans="1:9" x14ac:dyDescent="0.25">
      <c r="A34" t="s">
        <v>39</v>
      </c>
      <c r="B34">
        <f>SUM(B22:M22)</f>
        <v>1275</v>
      </c>
      <c r="D34" t="s">
        <v>40</v>
      </c>
      <c r="E34">
        <f>B7</f>
        <v>65</v>
      </c>
      <c r="F34">
        <f>M28</f>
        <v>83.799999999999969</v>
      </c>
      <c r="G34" t="s">
        <v>41</v>
      </c>
      <c r="H34">
        <f>B6</f>
        <v>173</v>
      </c>
      <c r="I34">
        <f>B11*M22</f>
        <v>159.6</v>
      </c>
    </row>
    <row r="35" spans="1:9" x14ac:dyDescent="0.25">
      <c r="A35" t="s">
        <v>7</v>
      </c>
      <c r="B35">
        <f>B11*B34</f>
        <v>969</v>
      </c>
      <c r="D35" t="s">
        <v>42</v>
      </c>
      <c r="E35">
        <f>B5</f>
        <v>184</v>
      </c>
      <c r="F35">
        <f>(1-B16)*M22</f>
        <v>184.8</v>
      </c>
    </row>
    <row r="36" spans="1:9" x14ac:dyDescent="0.25">
      <c r="A36" t="s">
        <v>43</v>
      </c>
      <c r="B36">
        <f>B12*B34+B13</f>
        <v>273</v>
      </c>
      <c r="D36" t="s">
        <v>4</v>
      </c>
      <c r="E36">
        <f>B8</f>
        <v>50</v>
      </c>
      <c r="F36">
        <v>50</v>
      </c>
    </row>
    <row r="37" spans="1:9" x14ac:dyDescent="0.25">
      <c r="A37" t="s">
        <v>44</v>
      </c>
      <c r="B37">
        <f>B34-B35-B36</f>
        <v>33</v>
      </c>
    </row>
    <row r="38" spans="1:9" x14ac:dyDescent="0.25">
      <c r="A38" t="s">
        <v>13</v>
      </c>
      <c r="B38">
        <f>B14</f>
        <v>12</v>
      </c>
      <c r="D38" t="s">
        <v>6</v>
      </c>
      <c r="E38">
        <f>B10</f>
        <v>331</v>
      </c>
      <c r="F38">
        <f>E38-B38</f>
        <v>319</v>
      </c>
      <c r="G38" t="s">
        <v>5</v>
      </c>
      <c r="H38">
        <f>B9</f>
        <v>457</v>
      </c>
      <c r="I38">
        <f>H38+B45</f>
        <v>478</v>
      </c>
    </row>
    <row r="39" spans="1:9" x14ac:dyDescent="0.25">
      <c r="A39" t="s">
        <v>45</v>
      </c>
      <c r="B39">
        <f>B37-B38</f>
        <v>21</v>
      </c>
      <c r="E39">
        <f>E34+E35+E36+E38</f>
        <v>630</v>
      </c>
      <c r="F39">
        <f>F34+F35+F36+F38</f>
        <v>637.59999999999991</v>
      </c>
      <c r="H39">
        <f>H34+H38</f>
        <v>630</v>
      </c>
      <c r="I39">
        <f>I34+I38</f>
        <v>637.6</v>
      </c>
    </row>
    <row r="40" spans="1:9" x14ac:dyDescent="0.25">
      <c r="A40" t="s">
        <v>46</v>
      </c>
      <c r="B40">
        <v>0</v>
      </c>
    </row>
    <row r="41" spans="1:9" x14ac:dyDescent="0.25">
      <c r="A41" t="s">
        <v>47</v>
      </c>
      <c r="B41">
        <f>B39-B40</f>
        <v>21</v>
      </c>
    </row>
    <row r="42" spans="1:9" x14ac:dyDescent="0.25">
      <c r="A42" t="s">
        <v>48</v>
      </c>
      <c r="B42">
        <v>0</v>
      </c>
    </row>
    <row r="43" spans="1:9" x14ac:dyDescent="0.25">
      <c r="A43" t="s">
        <v>49</v>
      </c>
      <c r="B43">
        <f>B41-B42</f>
        <v>21</v>
      </c>
    </row>
    <row r="44" spans="1:9" x14ac:dyDescent="0.25">
      <c r="A44" t="s">
        <v>50</v>
      </c>
    </row>
    <row r="45" spans="1:9" x14ac:dyDescent="0.25">
      <c r="A45" t="s">
        <v>51</v>
      </c>
      <c r="B45">
        <f>B43-B44</f>
        <v>21</v>
      </c>
    </row>
    <row r="47" spans="1:9" x14ac:dyDescent="0.25">
      <c r="A47" s="7" t="s">
        <v>52</v>
      </c>
    </row>
    <row r="49" spans="1:2" x14ac:dyDescent="0.25">
      <c r="A49" s="6" t="s">
        <v>74</v>
      </c>
      <c r="B49">
        <f>H38</f>
        <v>457</v>
      </c>
    </row>
    <row r="50" spans="1:2" x14ac:dyDescent="0.25">
      <c r="A50" t="s">
        <v>53</v>
      </c>
      <c r="B50" s="2">
        <f>(B37+B13-B14)/B49</f>
        <v>8.5339168490153175E-2</v>
      </c>
    </row>
    <row r="52" spans="1:2" x14ac:dyDescent="0.25">
      <c r="A52" s="7" t="s">
        <v>54</v>
      </c>
    </row>
    <row r="53" spans="1:2" x14ac:dyDescent="0.25">
      <c r="A53" s="6" t="s">
        <v>75</v>
      </c>
      <c r="B53">
        <v>1.8</v>
      </c>
    </row>
    <row r="54" spans="1:2" x14ac:dyDescent="0.25">
      <c r="A54" t="s">
        <v>55</v>
      </c>
      <c r="B54" s="1">
        <v>0.2</v>
      </c>
    </row>
    <row r="55" spans="1:2" x14ac:dyDescent="0.25">
      <c r="A55" t="s">
        <v>56</v>
      </c>
      <c r="B55">
        <v>1300000</v>
      </c>
    </row>
    <row r="57" spans="1:2" x14ac:dyDescent="0.25">
      <c r="A57" t="s">
        <v>57</v>
      </c>
    </row>
    <row r="58" spans="1:2" x14ac:dyDescent="0.25">
      <c r="B58">
        <f>B53*B54</f>
        <v>0.36000000000000004</v>
      </c>
    </row>
    <row r="59" spans="1:2" x14ac:dyDescent="0.25">
      <c r="A59" t="s">
        <v>58</v>
      </c>
    </row>
    <row r="60" spans="1:2" x14ac:dyDescent="0.25">
      <c r="A60" t="s">
        <v>59</v>
      </c>
      <c r="B60">
        <f>B58*B55</f>
        <v>468000.00000000006</v>
      </c>
    </row>
    <row r="62" spans="1:2" x14ac:dyDescent="0.25">
      <c r="A62" t="s">
        <v>60</v>
      </c>
    </row>
    <row r="63" spans="1:2" x14ac:dyDescent="0.25">
      <c r="A63" t="s">
        <v>61</v>
      </c>
      <c r="B63">
        <f>B53*B60/(B53*B58-B58)</f>
        <v>2924999.9999999995</v>
      </c>
    </row>
    <row r="65" spans="1:4" x14ac:dyDescent="0.25">
      <c r="A65" s="7" t="s">
        <v>62</v>
      </c>
    </row>
    <row r="68" spans="1:4" x14ac:dyDescent="0.25">
      <c r="A68" t="s">
        <v>63</v>
      </c>
      <c r="B68">
        <v>2.8</v>
      </c>
      <c r="C68">
        <v>3</v>
      </c>
      <c r="D68">
        <v>3.2</v>
      </c>
    </row>
    <row r="69" spans="1:4" x14ac:dyDescent="0.25">
      <c r="A69" t="s">
        <v>7</v>
      </c>
      <c r="B69">
        <f>0.65*B68</f>
        <v>1.8199999999999998</v>
      </c>
      <c r="C69">
        <f>0.65*C68</f>
        <v>1.9500000000000002</v>
      </c>
      <c r="D69">
        <f>0.65*D68</f>
        <v>2.08</v>
      </c>
    </row>
    <row r="70" spans="1:4" x14ac:dyDescent="0.25">
      <c r="A70" t="s">
        <v>43</v>
      </c>
      <c r="B70">
        <v>0.3</v>
      </c>
      <c r="C70">
        <v>0.3</v>
      </c>
      <c r="D70">
        <v>0.3</v>
      </c>
    </row>
    <row r="71" spans="1:4" x14ac:dyDescent="0.25">
      <c r="A71" t="s">
        <v>44</v>
      </c>
      <c r="B71">
        <f>B68-B69-B70</f>
        <v>0.67999999999999994</v>
      </c>
      <c r="C71">
        <f>C68-C69-C70</f>
        <v>0.74999999999999978</v>
      </c>
      <c r="D71">
        <f>D68-D69-D70</f>
        <v>0.82000000000000006</v>
      </c>
    </row>
    <row r="72" spans="1:4" x14ac:dyDescent="0.25">
      <c r="A72" t="s">
        <v>64</v>
      </c>
      <c r="B72">
        <f>0.1*(0.5+0.35)</f>
        <v>8.5000000000000006E-2</v>
      </c>
      <c r="C72">
        <f>0.1*(0.5+0.35)</f>
        <v>8.5000000000000006E-2</v>
      </c>
      <c r="D72">
        <f>0.1*(0.5+0.35)</f>
        <v>8.5000000000000006E-2</v>
      </c>
    </row>
    <row r="73" spans="1:4" x14ac:dyDescent="0.25">
      <c r="A73" t="s">
        <v>45</v>
      </c>
      <c r="B73">
        <f>B71-B72</f>
        <v>0.59499999999999997</v>
      </c>
      <c r="C73">
        <f>C71-C72</f>
        <v>0.66499999999999981</v>
      </c>
      <c r="D73">
        <f>D71-D72</f>
        <v>0.7350000000000001</v>
      </c>
    </row>
    <row r="74" spans="1:4" x14ac:dyDescent="0.25">
      <c r="A74" t="s">
        <v>65</v>
      </c>
      <c r="B74">
        <f ca="1">0.1*B90+0.12*0.3</f>
        <v>9.4805103468376589E-2</v>
      </c>
      <c r="C74">
        <f ca="1">0.1*C90+0.12*0.3</f>
        <v>9.5262306907607092E-2</v>
      </c>
      <c r="D74">
        <f ca="1">0.1*D90+0.12*0.3</f>
        <v>9.5719510346837622E-2</v>
      </c>
    </row>
    <row r="75" spans="1:4" x14ac:dyDescent="0.25">
      <c r="A75" t="s">
        <v>47</v>
      </c>
      <c r="B75">
        <f ca="1">B73-B74</f>
        <v>0.50019489653162341</v>
      </c>
      <c r="C75">
        <f ca="1">C73-C74</f>
        <v>0.56973769309239275</v>
      </c>
      <c r="D75">
        <f ca="1">D73-D74</f>
        <v>0.63928048965316253</v>
      </c>
    </row>
    <row r="76" spans="1:4" x14ac:dyDescent="0.25">
      <c r="A76" t="s">
        <v>48</v>
      </c>
      <c r="B76">
        <f ca="1">0.4*B75</f>
        <v>0.20007795861264938</v>
      </c>
      <c r="C76">
        <f ca="1">0.4*C75</f>
        <v>0.22789507723695712</v>
      </c>
      <c r="D76">
        <f ca="1">0.4*D75</f>
        <v>0.25571219586126503</v>
      </c>
    </row>
    <row r="77" spans="1:4" x14ac:dyDescent="0.25">
      <c r="A77" t="s">
        <v>49</v>
      </c>
      <c r="B77">
        <f ca="1">B75-B76</f>
        <v>0.30011693791897404</v>
      </c>
      <c r="C77">
        <f ca="1">C75-C76</f>
        <v>0.34184261585543563</v>
      </c>
      <c r="D77">
        <f ca="1">D75-D76</f>
        <v>0.3835682937918975</v>
      </c>
    </row>
    <row r="78" spans="1:4" x14ac:dyDescent="0.25">
      <c r="A78" t="s">
        <v>66</v>
      </c>
      <c r="B78">
        <v>0</v>
      </c>
      <c r="C78">
        <v>0</v>
      </c>
      <c r="D78">
        <v>0</v>
      </c>
    </row>
    <row r="79" spans="1:4" x14ac:dyDescent="0.25">
      <c r="A79" t="s">
        <v>67</v>
      </c>
      <c r="B79">
        <f ca="1">B77-B78</f>
        <v>0.30011693791897404</v>
      </c>
      <c r="C79">
        <f ca="1">C77-C78</f>
        <v>0.34184261585543563</v>
      </c>
      <c r="D79">
        <f ca="1">D77-D78</f>
        <v>0.3835682937918975</v>
      </c>
    </row>
    <row r="82" spans="1:4" x14ac:dyDescent="0.25">
      <c r="A82" t="s">
        <v>40</v>
      </c>
      <c r="B82">
        <f>0.04*B68</f>
        <v>0.11199999999999999</v>
      </c>
      <c r="C82">
        <f>0.04*C68</f>
        <v>0.12</v>
      </c>
      <c r="D82">
        <f>0.04*D68</f>
        <v>0.128</v>
      </c>
    </row>
    <row r="83" spans="1:4" x14ac:dyDescent="0.25">
      <c r="A83" t="s">
        <v>42</v>
      </c>
      <c r="B83">
        <f>60/365*B68</f>
        <v>0.46027397260273967</v>
      </c>
      <c r="C83">
        <f>60/365*C68</f>
        <v>0.49315068493150682</v>
      </c>
      <c r="D83">
        <f>60/365*D68</f>
        <v>0.52602739726027392</v>
      </c>
    </row>
    <row r="84" spans="1:4" x14ac:dyDescent="0.25">
      <c r="A84" t="s">
        <v>4</v>
      </c>
      <c r="B84">
        <f>B69/8</f>
        <v>0.22749999999999998</v>
      </c>
      <c r="C84">
        <f>C69/8</f>
        <v>0.24375000000000002</v>
      </c>
      <c r="D84">
        <f>D69/8</f>
        <v>0.26</v>
      </c>
    </row>
    <row r="86" spans="1:4" x14ac:dyDescent="0.25">
      <c r="A86" t="s">
        <v>6</v>
      </c>
      <c r="B86">
        <f>0.5+0.35-B72</f>
        <v>0.76500000000000001</v>
      </c>
      <c r="C86">
        <f>0.5+0.35-C72</f>
        <v>0.76500000000000001</v>
      </c>
      <c r="D86">
        <f>0.5+0.35-D72</f>
        <v>0.76500000000000001</v>
      </c>
    </row>
    <row r="87" spans="1:4" x14ac:dyDescent="0.25">
      <c r="A87" t="s">
        <v>68</v>
      </c>
      <c r="B87">
        <f>SUM(B82:B86)</f>
        <v>1.5647739726027399</v>
      </c>
      <c r="C87">
        <f>SUM(C82:C86)</f>
        <v>1.6219006849315067</v>
      </c>
      <c r="D87">
        <f>SUM(D82:D86)</f>
        <v>1.6790273972602741</v>
      </c>
    </row>
    <row r="89" spans="1:4" x14ac:dyDescent="0.25">
      <c r="A89" t="s">
        <v>41</v>
      </c>
      <c r="B89">
        <f>0.0833*B69</f>
        <v>0.15160599999999999</v>
      </c>
      <c r="C89">
        <f>0.0833*C69</f>
        <v>0.16243500000000002</v>
      </c>
      <c r="D89">
        <f>0.0833*D69</f>
        <v>0.173264</v>
      </c>
    </row>
    <row r="90" spans="1:4" x14ac:dyDescent="0.25">
      <c r="A90" t="s">
        <v>69</v>
      </c>
      <c r="B90">
        <f ca="1">B87-B89-B92-B94-B95</f>
        <v>0.58805103468376596</v>
      </c>
      <c r="C90">
        <f ca="1">C87-C89-C92-C94-C95</f>
        <v>0.59262306907607099</v>
      </c>
      <c r="D90">
        <f ca="1">D87-D89-D92-D94-D95</f>
        <v>0.59719510346837623</v>
      </c>
    </row>
    <row r="92" spans="1:4" x14ac:dyDescent="0.25">
      <c r="A92" t="s">
        <v>70</v>
      </c>
      <c r="B92">
        <f>0.3-0.075</f>
        <v>0.22499999999999998</v>
      </c>
      <c r="C92">
        <f>0.3-0.075</f>
        <v>0.22499999999999998</v>
      </c>
      <c r="D92">
        <f>0.3-0.075</f>
        <v>0.22499999999999998</v>
      </c>
    </row>
    <row r="94" spans="1:4" x14ac:dyDescent="0.25">
      <c r="A94" t="s">
        <v>71</v>
      </c>
      <c r="B94">
        <v>0.1</v>
      </c>
      <c r="C94">
        <v>0.1</v>
      </c>
      <c r="D94">
        <v>0.1</v>
      </c>
    </row>
    <row r="95" spans="1:4" x14ac:dyDescent="0.25">
      <c r="A95" t="s">
        <v>72</v>
      </c>
      <c r="B95">
        <f ca="1">0.2+B79</f>
        <v>0.50011693791897405</v>
      </c>
      <c r="C95">
        <f ca="1">0.2+C79</f>
        <v>0.54184261585543569</v>
      </c>
      <c r="D95">
        <f ca="1">0.2+D79</f>
        <v>0.58356829379189756</v>
      </c>
    </row>
    <row r="96" spans="1:4" x14ac:dyDescent="0.25">
      <c r="A96" t="s">
        <v>68</v>
      </c>
      <c r="B96">
        <f ca="1">SUM(B89:B95)</f>
        <v>1.5647739726027401</v>
      </c>
      <c r="C96">
        <f ca="1">SUM(C89:C95)</f>
        <v>1.6219006849315067</v>
      </c>
      <c r="D96">
        <f ca="1">SUM(D89:D95)</f>
        <v>1.6790273972602738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Simon Fraser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Business Administration</dc:creator>
  <cp:lastModifiedBy>RonZitron</cp:lastModifiedBy>
  <dcterms:created xsi:type="dcterms:W3CDTF">1998-05-28T21:50:32Z</dcterms:created>
  <dcterms:modified xsi:type="dcterms:W3CDTF">2014-05-26T22:22:10Z</dcterms:modified>
</cp:coreProperties>
</file>